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always" codeName="ThisWorkbook"/>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2025 TPR Cycle 2 - 07.01.25/"/>
    </mc:Choice>
  </mc:AlternateContent>
  <xr:revisionPtr revIDLastSave="7" documentId="8_{2397256D-24E7-479E-AEDE-1373F70124D2}" xr6:coauthVersionLast="47" xr6:coauthVersionMax="47" xr10:uidLastSave="{44C8CE6E-8664-4C18-9E7B-FA44D0206388}"/>
  <bookViews>
    <workbookView xWindow="-28920" yWindow="-120" windowWidth="29040" windowHeight="15840" xr2:uid="{00000000-000D-0000-FFFF-FFFF00000000}"/>
  </bookViews>
  <sheets>
    <sheet name="Sheet3" sheetId="21" r:id="rId1"/>
    <sheet name="Data fields" sheetId="25" r:id="rId2"/>
    <sheet name="Options List" sheetId="5" r:id="rId3"/>
    <sheet name="Sheet7" sheetId="10" state="hidden" r:id="rId4"/>
  </sheets>
  <definedNames>
    <definedName name="ID" localSheetId="1" hidden="1">"81bf37e4-c629-489e-882e-0680fa12d1b5"</definedName>
    <definedName name="ID" localSheetId="2" hidden="1">"cfab4b8a-453d-4412-aa1f-ac388ccdfe2c"</definedName>
    <definedName name="ID" localSheetId="0" hidden="1">"15854d5e-0d57-4fa1-89ea-35c14716f21e"</definedName>
    <definedName name="ID" localSheetId="3" hidden="1">"865bf536-6bef-4952-8f0a-f2f74c06674d"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7" i="21" l="1"/>
  <c r="CC19" i="21"/>
  <c r="CC26" i="21"/>
  <c r="CC42" i="21"/>
  <c r="BM109" i="21"/>
  <c r="BM126" i="21"/>
  <c r="BM52" i="21" l="1"/>
  <c r="BM54" i="21"/>
  <c r="BM78" i="21"/>
  <c r="BM346" i="21" l="1"/>
  <c r="BM337" i="21"/>
  <c r="BM335" i="21"/>
  <c r="BM306" i="21"/>
  <c r="BM303" i="21"/>
  <c r="BM330" i="21"/>
  <c r="BM315" i="21"/>
  <c r="BM312" i="21"/>
  <c r="BM299" i="21"/>
  <c r="BM291" i="21"/>
  <c r="BM287" i="21"/>
  <c r="BM285" i="21"/>
  <c r="BM202" i="21"/>
  <c r="BM152" i="21"/>
  <c r="BM142" i="21"/>
  <c r="BM94" i="21"/>
  <c r="BM92" i="21"/>
  <c r="BM81" i="21"/>
  <c r="BM42" i="21"/>
  <c r="BM26" i="21"/>
  <c r="BM17" i="21"/>
  <c r="BM14" i="21"/>
  <c r="BM4" i="21"/>
  <c r="CI54" i="21" l="1"/>
  <c r="CH54" i="21"/>
  <c r="CG54" i="21"/>
  <c r="CF54" i="21"/>
  <c r="CE54" i="21"/>
  <c r="CD54" i="21"/>
  <c r="CC54" i="21"/>
  <c r="BX54" i="21"/>
  <c r="BW54" i="21"/>
  <c r="BV54" i="21"/>
  <c r="BU54" i="21"/>
  <c r="BT54" i="21"/>
  <c r="BS54" i="21"/>
  <c r="BR54" i="21"/>
  <c r="BQ54" i="21"/>
  <c r="BP54" i="21"/>
  <c r="BO54" i="21"/>
  <c r="BN54" i="21"/>
  <c r="BM370" i="21" l="1"/>
  <c r="BM166" i="21" s="1"/>
  <c r="BN26" i="21"/>
  <c r="BK364" i="21"/>
  <c r="BM358" i="21"/>
  <c r="BK356" i="21"/>
  <c r="CI346" i="21"/>
  <c r="CH346" i="21"/>
  <c r="CG346" i="21"/>
  <c r="CF346" i="21"/>
  <c r="CE346" i="21"/>
  <c r="CD346" i="21"/>
  <c r="CC346" i="21"/>
  <c r="BX346" i="21"/>
  <c r="BW346" i="21"/>
  <c r="BV346" i="21"/>
  <c r="BU346" i="21"/>
  <c r="BT346" i="21"/>
  <c r="BS346" i="21"/>
  <c r="BR346" i="21"/>
  <c r="BQ346" i="21"/>
  <c r="BP346" i="21"/>
  <c r="BO346" i="21"/>
  <c r="BN346" i="21"/>
  <c r="CI337" i="21"/>
  <c r="CH337" i="21"/>
  <c r="CG337" i="21"/>
  <c r="CF337" i="21"/>
  <c r="CE337" i="21"/>
  <c r="CD337" i="21"/>
  <c r="CC337" i="21"/>
  <c r="BX337" i="21"/>
  <c r="BW337" i="21"/>
  <c r="BV337" i="21"/>
  <c r="BU337" i="21"/>
  <c r="BT337" i="21"/>
  <c r="BS337" i="21"/>
  <c r="BR337" i="21"/>
  <c r="BQ337" i="21"/>
  <c r="BP337" i="21"/>
  <c r="BO337" i="21"/>
  <c r="BN337" i="21"/>
  <c r="CI335" i="21"/>
  <c r="CH335" i="21"/>
  <c r="CG335" i="21"/>
  <c r="CF335" i="21"/>
  <c r="CE335" i="21"/>
  <c r="CD335" i="21"/>
  <c r="CC335" i="21"/>
  <c r="BX335" i="21"/>
  <c r="BW335" i="21"/>
  <c r="BV335" i="21"/>
  <c r="BU335" i="21"/>
  <c r="BT335" i="21"/>
  <c r="BS335" i="21"/>
  <c r="BR335" i="21"/>
  <c r="BQ335" i="21"/>
  <c r="BP335" i="21"/>
  <c r="BO335" i="21"/>
  <c r="BN335" i="21"/>
  <c r="CI330" i="21"/>
  <c r="CH330" i="21"/>
  <c r="CG330" i="21"/>
  <c r="CF330" i="21"/>
  <c r="CE330" i="21"/>
  <c r="CD330" i="21"/>
  <c r="CC330" i="21"/>
  <c r="BX330" i="21"/>
  <c r="BW330" i="21"/>
  <c r="BV330" i="21"/>
  <c r="BU330" i="21"/>
  <c r="BT330" i="21"/>
  <c r="BS330" i="21"/>
  <c r="BR330" i="21"/>
  <c r="BQ330" i="21"/>
  <c r="BP330" i="21"/>
  <c r="BO330" i="21"/>
  <c r="BN330" i="21"/>
  <c r="CI315" i="21"/>
  <c r="CH315" i="21"/>
  <c r="CG315" i="21"/>
  <c r="CF315" i="21"/>
  <c r="CE315" i="21"/>
  <c r="CD315" i="21"/>
  <c r="CC315" i="21"/>
  <c r="BX315" i="21"/>
  <c r="BW315" i="21"/>
  <c r="BV315" i="21"/>
  <c r="BU315" i="21"/>
  <c r="BT315" i="21"/>
  <c r="BS315" i="21"/>
  <c r="BR315" i="21"/>
  <c r="BQ315" i="21"/>
  <c r="BP315" i="21"/>
  <c r="BO315" i="21"/>
  <c r="BN315" i="21"/>
  <c r="CI312" i="21"/>
  <c r="CH312" i="21"/>
  <c r="CG312" i="21"/>
  <c r="CF312" i="21"/>
  <c r="CE312" i="21"/>
  <c r="CD312" i="21"/>
  <c r="CC312" i="21"/>
  <c r="BX312" i="21"/>
  <c r="BW312" i="21"/>
  <c r="BV312" i="21"/>
  <c r="BU312" i="21"/>
  <c r="BT312" i="21"/>
  <c r="BS312" i="21"/>
  <c r="BR312" i="21"/>
  <c r="BQ312" i="21"/>
  <c r="BP312" i="21"/>
  <c r="BO312" i="21"/>
  <c r="BN312" i="21"/>
  <c r="CI306" i="21"/>
  <c r="CH306" i="21"/>
  <c r="CG306" i="21"/>
  <c r="CF306" i="21"/>
  <c r="CE306" i="21"/>
  <c r="CD306" i="21"/>
  <c r="CC306" i="21"/>
  <c r="BX306" i="21"/>
  <c r="BW306" i="21"/>
  <c r="BV306" i="21"/>
  <c r="BU306" i="21"/>
  <c r="BT306" i="21"/>
  <c r="BS306" i="21"/>
  <c r="BR306" i="21"/>
  <c r="BQ306" i="21"/>
  <c r="BP306" i="21"/>
  <c r="BO306" i="21"/>
  <c r="BN306" i="21"/>
  <c r="CI303" i="21"/>
  <c r="CH303" i="21"/>
  <c r="CG303" i="21"/>
  <c r="CF303" i="21"/>
  <c r="CE303" i="21"/>
  <c r="CD303" i="21"/>
  <c r="CC303" i="21"/>
  <c r="BX303" i="21"/>
  <c r="BW303" i="21"/>
  <c r="BV303" i="21"/>
  <c r="BU303" i="21"/>
  <c r="BT303" i="21"/>
  <c r="BS303" i="21"/>
  <c r="BR303" i="21"/>
  <c r="BQ303" i="21"/>
  <c r="BP303" i="21"/>
  <c r="BO303" i="21"/>
  <c r="BN303" i="21"/>
  <c r="CI299" i="21"/>
  <c r="CH299" i="21"/>
  <c r="CG299" i="21"/>
  <c r="CF299" i="21"/>
  <c r="CE299" i="21"/>
  <c r="CD299" i="21"/>
  <c r="CC299" i="21"/>
  <c r="BX299" i="21"/>
  <c r="BW299" i="21"/>
  <c r="BV299" i="21"/>
  <c r="BU299" i="21"/>
  <c r="BT299" i="21"/>
  <c r="BS299" i="21"/>
  <c r="BR299" i="21"/>
  <c r="BQ299" i="21"/>
  <c r="BP299" i="21"/>
  <c r="BO299" i="21"/>
  <c r="BN299" i="21"/>
  <c r="CI291" i="21"/>
  <c r="CH291" i="21"/>
  <c r="CG291" i="21"/>
  <c r="CF291" i="21"/>
  <c r="CE291" i="21"/>
  <c r="CD291" i="21"/>
  <c r="CC291" i="21"/>
  <c r="BX291" i="21"/>
  <c r="BW291" i="21"/>
  <c r="BV291" i="21"/>
  <c r="BU291" i="21"/>
  <c r="BT291" i="21"/>
  <c r="BS291" i="21"/>
  <c r="BR291" i="21"/>
  <c r="BQ291" i="21"/>
  <c r="BP291" i="21"/>
  <c r="BO291" i="21"/>
  <c r="BN291" i="21"/>
  <c r="CI287" i="21"/>
  <c r="CH287" i="21"/>
  <c r="CG287" i="21"/>
  <c r="CF287" i="21"/>
  <c r="CE287" i="21"/>
  <c r="CD287" i="21"/>
  <c r="CC287" i="21"/>
  <c r="BX287" i="21"/>
  <c r="BW287" i="21"/>
  <c r="BV287" i="21"/>
  <c r="BU287" i="21"/>
  <c r="BT287" i="21"/>
  <c r="BS287" i="21"/>
  <c r="BR287" i="21"/>
  <c r="BQ287" i="21"/>
  <c r="BP287" i="21"/>
  <c r="BO287" i="21"/>
  <c r="BN287" i="21"/>
  <c r="CI285" i="21"/>
  <c r="CH285" i="21"/>
  <c r="CG285" i="21"/>
  <c r="CF285" i="21"/>
  <c r="CE285" i="21"/>
  <c r="CD285" i="21"/>
  <c r="CC285" i="21"/>
  <c r="BX285" i="21"/>
  <c r="BW285" i="21"/>
  <c r="BV285" i="21"/>
  <c r="BU285" i="21"/>
  <c r="BT285" i="21"/>
  <c r="BS285" i="21"/>
  <c r="BR285" i="21"/>
  <c r="BQ285" i="21"/>
  <c r="BP285" i="21"/>
  <c r="BO285" i="21"/>
  <c r="BN285" i="21"/>
  <c r="CI259" i="21"/>
  <c r="CH259" i="21"/>
  <c r="CG259" i="21"/>
  <c r="CF259" i="21"/>
  <c r="CE259" i="21"/>
  <c r="CD259" i="21"/>
  <c r="CC259" i="21"/>
  <c r="BX259" i="21"/>
  <c r="BW259" i="21"/>
  <c r="BV259" i="21"/>
  <c r="BU259" i="21"/>
  <c r="BT259" i="21"/>
  <c r="BS259" i="21"/>
  <c r="BR259" i="21"/>
  <c r="BQ259" i="21"/>
  <c r="BP259" i="21"/>
  <c r="BO259" i="21"/>
  <c r="BN259" i="21"/>
  <c r="CI229" i="21"/>
  <c r="CH229" i="21"/>
  <c r="CG229" i="21"/>
  <c r="CF229" i="21"/>
  <c r="CE229" i="21"/>
  <c r="CD229" i="21"/>
  <c r="CC229" i="21"/>
  <c r="BX229" i="21"/>
  <c r="BW229" i="21"/>
  <c r="BV229" i="21"/>
  <c r="BU229" i="21"/>
  <c r="BT229" i="21"/>
  <c r="BS229" i="21"/>
  <c r="BR229" i="21"/>
  <c r="BQ229" i="21"/>
  <c r="BP229" i="21"/>
  <c r="BO229" i="21"/>
  <c r="BN229" i="21"/>
  <c r="CI202" i="21"/>
  <c r="CH202" i="21"/>
  <c r="CG202" i="21"/>
  <c r="CF202" i="21"/>
  <c r="CE202" i="21"/>
  <c r="CD202" i="21"/>
  <c r="CC202" i="21"/>
  <c r="BX202" i="21"/>
  <c r="BW202" i="21"/>
  <c r="BV202" i="21"/>
  <c r="BU202" i="21"/>
  <c r="BT202" i="21"/>
  <c r="BS202" i="21"/>
  <c r="BR202" i="21"/>
  <c r="BQ202" i="21"/>
  <c r="BP202" i="21"/>
  <c r="BO202" i="21"/>
  <c r="BN202" i="21"/>
  <c r="CI166" i="21"/>
  <c r="CH166" i="21"/>
  <c r="CG166" i="21"/>
  <c r="CF166" i="21"/>
  <c r="CE166" i="21"/>
  <c r="CD166" i="21"/>
  <c r="CC166" i="21"/>
  <c r="BX166" i="21"/>
  <c r="BW166" i="21"/>
  <c r="BV166" i="21"/>
  <c r="BU166" i="21"/>
  <c r="BT166" i="21"/>
  <c r="BS166" i="21"/>
  <c r="BR166" i="21"/>
  <c r="BQ166" i="21"/>
  <c r="BP166" i="21"/>
  <c r="BO166" i="21"/>
  <c r="BN166" i="21"/>
  <c r="CI152" i="21"/>
  <c r="CH152" i="21"/>
  <c r="CG152" i="21"/>
  <c r="CF152" i="21"/>
  <c r="CE152" i="21"/>
  <c r="CD152" i="21"/>
  <c r="CC152" i="21"/>
  <c r="BX152" i="21"/>
  <c r="BW152" i="21"/>
  <c r="BV152" i="21"/>
  <c r="BU152" i="21"/>
  <c r="BT152" i="21"/>
  <c r="BS152" i="21"/>
  <c r="BR152" i="21"/>
  <c r="BQ152" i="21"/>
  <c r="BP152" i="21"/>
  <c r="BO152" i="21"/>
  <c r="BN152" i="21"/>
  <c r="CI142" i="21"/>
  <c r="CH142" i="21"/>
  <c r="CG142" i="21"/>
  <c r="CF142" i="21"/>
  <c r="CE142" i="21"/>
  <c r="CD142" i="21"/>
  <c r="CC142" i="21"/>
  <c r="BX142" i="21"/>
  <c r="BW142" i="21"/>
  <c r="BV142" i="21"/>
  <c r="BU142" i="21"/>
  <c r="BT142" i="21"/>
  <c r="BS142" i="21"/>
  <c r="BR142" i="21"/>
  <c r="BQ142" i="21"/>
  <c r="BP142" i="21"/>
  <c r="BO142" i="21"/>
  <c r="BN142" i="21"/>
  <c r="CI126" i="21"/>
  <c r="CH126" i="21"/>
  <c r="CG126" i="21"/>
  <c r="CF126" i="21"/>
  <c r="CE126" i="21"/>
  <c r="CD126" i="21"/>
  <c r="CC126" i="21"/>
  <c r="BX126" i="21"/>
  <c r="BW126" i="21"/>
  <c r="BV126" i="21"/>
  <c r="BU126" i="21"/>
  <c r="BT126" i="21"/>
  <c r="BS126" i="21"/>
  <c r="BR126" i="21"/>
  <c r="BQ126" i="21"/>
  <c r="BP126" i="21"/>
  <c r="BO126" i="21"/>
  <c r="BN126" i="21"/>
  <c r="CI109" i="21"/>
  <c r="CH109" i="21"/>
  <c r="CG109" i="21"/>
  <c r="CF109" i="21"/>
  <c r="CE109" i="21"/>
  <c r="CD109" i="21"/>
  <c r="CC109" i="21"/>
  <c r="BX109" i="21"/>
  <c r="BW109" i="21"/>
  <c r="BV109" i="21"/>
  <c r="BU109" i="21"/>
  <c r="BT109" i="21"/>
  <c r="BS109" i="21"/>
  <c r="BR109" i="21"/>
  <c r="BQ109" i="21"/>
  <c r="BP109" i="21"/>
  <c r="BO109" i="21"/>
  <c r="BN109" i="21"/>
  <c r="CI94" i="21"/>
  <c r="CH94" i="21"/>
  <c r="CG94" i="21"/>
  <c r="CF94" i="21"/>
  <c r="CE94" i="21"/>
  <c r="CD94" i="21"/>
  <c r="CC94" i="21"/>
  <c r="BX94" i="21"/>
  <c r="BW94" i="21"/>
  <c r="BV94" i="21"/>
  <c r="BU94" i="21"/>
  <c r="BT94" i="21"/>
  <c r="BS94" i="21"/>
  <c r="BR94" i="21"/>
  <c r="BQ94" i="21"/>
  <c r="BP94" i="21"/>
  <c r="BO94" i="21"/>
  <c r="BN94" i="21"/>
  <c r="CI92" i="21"/>
  <c r="CH92" i="21"/>
  <c r="CG92" i="21"/>
  <c r="CF92" i="21"/>
  <c r="CE92" i="21"/>
  <c r="CD92" i="21"/>
  <c r="CC92" i="21"/>
  <c r="BX92" i="21"/>
  <c r="BW92" i="21"/>
  <c r="BV92" i="21"/>
  <c r="BU92" i="21"/>
  <c r="BT92" i="21"/>
  <c r="BS92" i="21"/>
  <c r="BR92" i="21"/>
  <c r="BQ92" i="21"/>
  <c r="BP92" i="21"/>
  <c r="BO92" i="21"/>
  <c r="BN92" i="21"/>
  <c r="CI81" i="21"/>
  <c r="CH81" i="21"/>
  <c r="CG81" i="21"/>
  <c r="CF81" i="21"/>
  <c r="CE81" i="21"/>
  <c r="CD81" i="21"/>
  <c r="CC81" i="21"/>
  <c r="BX81" i="21"/>
  <c r="BW81" i="21"/>
  <c r="BV81" i="21"/>
  <c r="BU81" i="21"/>
  <c r="BT81" i="21"/>
  <c r="BS81" i="21"/>
  <c r="BR81" i="21"/>
  <c r="BQ81" i="21"/>
  <c r="BP81" i="21"/>
  <c r="BO81" i="21"/>
  <c r="BN81" i="21"/>
  <c r="CI78" i="21"/>
  <c r="CH78" i="21"/>
  <c r="CG78" i="21"/>
  <c r="CF78" i="21"/>
  <c r="CE78" i="21"/>
  <c r="CD78" i="21"/>
  <c r="CC78" i="21"/>
  <c r="BX78" i="21"/>
  <c r="BW78" i="21"/>
  <c r="BV78" i="21"/>
  <c r="BU78" i="21"/>
  <c r="BT78" i="21"/>
  <c r="BS78" i="21"/>
  <c r="BR78" i="21"/>
  <c r="BQ78" i="21"/>
  <c r="BP78" i="21"/>
  <c r="BO78" i="21"/>
  <c r="BN78" i="21"/>
  <c r="CI52" i="21"/>
  <c r="CH52" i="21"/>
  <c r="CG52" i="21"/>
  <c r="CF52" i="21"/>
  <c r="CE52" i="21"/>
  <c r="CD52" i="21"/>
  <c r="CC52" i="21"/>
  <c r="BX52" i="21"/>
  <c r="BW52" i="21"/>
  <c r="BV52" i="21"/>
  <c r="BU52" i="21"/>
  <c r="BT52" i="21"/>
  <c r="BS52" i="21"/>
  <c r="BR52" i="21"/>
  <c r="BQ52" i="21"/>
  <c r="BP52" i="21"/>
  <c r="BO52" i="21"/>
  <c r="BN52" i="21"/>
  <c r="CI42" i="21"/>
  <c r="CH42" i="21"/>
  <c r="CG42" i="21"/>
  <c r="CF42" i="21"/>
  <c r="CE42" i="21"/>
  <c r="CD42" i="21"/>
  <c r="BX42" i="21"/>
  <c r="BW42" i="21"/>
  <c r="BV42" i="21"/>
  <c r="BU42" i="21"/>
  <c r="BT42" i="21"/>
  <c r="BS42" i="21"/>
  <c r="BR42" i="21"/>
  <c r="BQ42" i="21"/>
  <c r="BP42" i="21"/>
  <c r="BO42" i="21"/>
  <c r="BN42" i="21"/>
  <c r="CI26" i="21"/>
  <c r="CH26" i="21"/>
  <c r="CG26" i="21"/>
  <c r="CF26" i="21"/>
  <c r="CE26" i="21"/>
  <c r="CD26" i="21"/>
  <c r="BX26" i="21"/>
  <c r="BW26" i="21"/>
  <c r="BV26" i="21"/>
  <c r="BU26" i="21"/>
  <c r="BT26" i="21"/>
  <c r="BS26" i="21"/>
  <c r="BR26" i="21"/>
  <c r="BQ26" i="21"/>
  <c r="BP26" i="21"/>
  <c r="BO26" i="21"/>
  <c r="CI19" i="21"/>
  <c r="CH19" i="21"/>
  <c r="CG19" i="21"/>
  <c r="CF19" i="21"/>
  <c r="CE19" i="21"/>
  <c r="CD19" i="21"/>
  <c r="BX19" i="21"/>
  <c r="BW19" i="21"/>
  <c r="BV19" i="21"/>
  <c r="BU19" i="21"/>
  <c r="BT19" i="21"/>
  <c r="BS19" i="21"/>
  <c r="BR19" i="21"/>
  <c r="BQ19" i="21"/>
  <c r="BP19" i="21"/>
  <c r="BO19" i="21"/>
  <c r="BN19" i="21"/>
  <c r="CI17" i="21"/>
  <c r="CH17" i="21"/>
  <c r="CG17" i="21"/>
  <c r="CF17" i="21"/>
  <c r="CE17" i="21"/>
  <c r="CD17" i="21"/>
  <c r="BX17" i="21"/>
  <c r="BW17" i="21"/>
  <c r="BV17" i="21"/>
  <c r="BU17" i="21"/>
  <c r="BT17" i="21"/>
  <c r="BS17" i="21"/>
  <c r="BR17" i="21"/>
  <c r="BQ17" i="21"/>
  <c r="BP17" i="21"/>
  <c r="BO17" i="21"/>
  <c r="BN17" i="21"/>
  <c r="CI14" i="21"/>
  <c r="CH14" i="21"/>
  <c r="CG14" i="21"/>
  <c r="CF14" i="21"/>
  <c r="CE14" i="21"/>
  <c r="CD14" i="21"/>
  <c r="CC14" i="21"/>
  <c r="BX14" i="21"/>
  <c r="BW14" i="21"/>
  <c r="BV14" i="21"/>
  <c r="BU14" i="21"/>
  <c r="BT14" i="21"/>
  <c r="BS14" i="21"/>
  <c r="BR14" i="21"/>
  <c r="BQ14" i="21"/>
  <c r="BP14" i="21"/>
  <c r="BO14" i="21"/>
  <c r="CI4" i="21"/>
  <c r="CH4" i="21"/>
  <c r="CG4" i="21"/>
  <c r="CF4" i="21"/>
  <c r="CE4" i="21"/>
  <c r="CD4" i="21"/>
  <c r="CC4" i="21"/>
  <c r="BX4" i="21"/>
  <c r="BW4" i="21"/>
  <c r="BV4" i="21"/>
  <c r="BU4" i="21"/>
  <c r="BT4" i="21"/>
  <c r="BS4" i="21"/>
  <c r="BR4" i="21"/>
  <c r="BQ4" i="21"/>
  <c r="BP4" i="21"/>
  <c r="BO4" i="21"/>
  <c r="BN14" i="21"/>
  <c r="BN4" i="21"/>
  <c r="BK359" i="21"/>
  <c r="BK357" i="21"/>
  <c r="BK355" i="21"/>
  <c r="BK353" i="21"/>
  <c r="BK354" i="21"/>
  <c r="BK352" i="21"/>
  <c r="BK351" i="21"/>
  <c r="BK369" i="21"/>
  <c r="BK370" i="21"/>
  <c r="BK368" i="21"/>
  <c r="BK367" i="21"/>
  <c r="BK366" i="21"/>
  <c r="BK360" i="21"/>
</calcChain>
</file>

<file path=xl/sharedStrings.xml><?xml version="1.0" encoding="utf-8"?>
<sst xmlns="http://schemas.openxmlformats.org/spreadsheetml/2006/main" count="38293" uniqueCount="4427">
  <si>
    <t>Project Description</t>
  </si>
  <si>
    <t>Utility |CAISO Approval and FERC Rate Cases</t>
  </si>
  <si>
    <t>CPUC Permit Status</t>
  </si>
  <si>
    <t>Project Status</t>
  </si>
  <si>
    <t>Cost</t>
  </si>
  <si>
    <t>3a</t>
  </si>
  <si>
    <t>3b</t>
  </si>
  <si>
    <t>15a</t>
  </si>
  <si>
    <t>15b</t>
  </si>
  <si>
    <t>27b</t>
  </si>
  <si>
    <t>40a</t>
  </si>
  <si>
    <t>40b</t>
  </si>
  <si>
    <t>41a</t>
  </si>
  <si>
    <t>41b</t>
  </si>
  <si>
    <t>42a</t>
  </si>
  <si>
    <t>42b</t>
  </si>
  <si>
    <t>Row No</t>
  </si>
  <si>
    <t>Project Name(s)</t>
  </si>
  <si>
    <t>Latitude</t>
  </si>
  <si>
    <t>Longitude</t>
  </si>
  <si>
    <t>Location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</si>
  <si>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</si>
  <si>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</si>
  <si>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</si>
  <si>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</si>
  <si>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</si>
  <si>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</si>
  <si>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</si>
  <si>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</si>
  <si>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</si>
  <si>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</si>
  <si>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</si>
  <si>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</si>
  <si>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</si>
  <si>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</si>
  <si>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</si>
  <si>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</si>
  <si>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</si>
  <si>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Transmission Project Size (length in miles)</t>
  </si>
  <si>
    <t>Substation Project Footprint (acres)</t>
  </si>
  <si>
    <t>Transmission Voltage Level (kV)</t>
  </si>
  <si>
    <t>Substation or Transformer Capacity (MVA and/or kV)</t>
  </si>
  <si>
    <t>Utility Prioritization Ranking</t>
  </si>
  <si>
    <t>Utility Unique ID #1(Most Specific)</t>
  </si>
  <si>
    <t>Utility Unique ID #2 (Less Specific)</t>
  </si>
  <si>
    <t>Total Number of Projects under Parent Work Order</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</si>
  <si>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</si>
  <si>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</si>
  <si>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</si>
  <si>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</si>
  <si>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</si>
  <si>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</si>
  <si>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</si>
  <si>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</si>
  <si>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</si>
  <si>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</si>
  <si>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</si>
  <si>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</si>
  <si>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</si>
  <si>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</si>
  <si>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</si>
  <si>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</si>
  <si>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</si>
  <si>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</si>
  <si>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</si>
  <si>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</si>
  <si>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</si>
  <si>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</si>
  <si>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</si>
  <si>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</si>
  <si>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</si>
  <si>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</si>
  <si>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</si>
  <si>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</si>
  <si>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</si>
  <si>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</si>
  <si>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</si>
  <si>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</si>
  <si>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2020 ($000)</t>
  </si>
  <si>
    <t>Actual Capital Expenditures 2021 ($000)</t>
  </si>
  <si>
    <t>Actual Capital Expenditures 2022 ($000)</t>
  </si>
  <si>
    <t>Actual Capital Expenditures 2023 ($000)</t>
  </si>
  <si>
    <t>Actual Capital Expenditures 2024 ($000)</t>
  </si>
  <si>
    <t>Actual Capital Expenditures 2025($000)</t>
  </si>
  <si>
    <t>Projected Capital Expenditures 2025 ($0000)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</si>
  <si>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</si>
  <si>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</si>
  <si>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</si>
  <si>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</si>
  <si>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</si>
  <si>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</si>
  <si>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</si>
  <si>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</si>
  <si>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 xml:space="preserve">2020 Actual FERC Dollars Ratebased ($000) </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</si>
  <si>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</si>
  <si>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</si>
  <si>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</si>
  <si>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</si>
  <si>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</si>
  <si>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2025 Projected FERC Dollars Ratebased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</si>
  <si>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</si>
  <si>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</si>
  <si>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</si>
  <si>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</si>
  <si>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</si>
  <si>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</si>
  <si>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New Notes</t>
  </si>
  <si>
    <t>Sarah Kelly</t>
  </si>
  <si>
    <t>[Programmatic]  Transmission Substation Responsive Asset Replacement</t>
  </si>
  <si>
    <t>NA</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</si>
  <si>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</si>
  <si>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</si>
  <si>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New</t>
  </si>
  <si>
    <t>Upgrade/Retrofit</t>
  </si>
  <si>
    <t>Reliability</t>
  </si>
  <si>
    <t>Substation Reliability</t>
  </si>
  <si>
    <t>Tier 1</t>
  </si>
  <si>
    <t>FALSE | FALSE | FALSE</t>
  </si>
  <si>
    <t xml:space="preserve">NA </t>
  </si>
  <si>
    <t>Multiple</t>
  </si>
  <si>
    <t>QB00012</t>
  </si>
  <si>
    <t>NA | NA | NA | NA</t>
  </si>
  <si>
    <t xml:space="preserve">Work Order Authorization </t>
  </si>
  <si>
    <t>TBD</t>
  </si>
  <si>
    <t>Exempted</t>
  </si>
  <si>
    <t>To be Filed</t>
  </si>
  <si>
    <t>Operational</t>
  </si>
  <si>
    <t>2024-12-31</t>
  </si>
  <si>
    <t>NA | NA</t>
  </si>
  <si>
    <t>2020 | 2021 | 2022 | 2023 | 2024 | 2025</t>
  </si>
  <si>
    <t>[Types of Analyses] Responsive budget due to reactive work at substation; projects are under Programmatic budget; 
[Age of Asset] Unable to provide age of asset for Programmatic budget codes
 [CPUC Fire Threat] - Depends on the substation, can be 1, 2 or 3.</t>
  </si>
  <si>
    <t xml:space="preserve"> A IID, SRP, APS SDGE SHARE ON CAP</t>
  </si>
  <si>
    <t>Capital upgrades between Arizona Public Services, Salt River Project and IID</t>
  </si>
  <si>
    <t>Substation - Other Equipment</t>
  </si>
  <si>
    <t>Work Requested by Others</t>
  </si>
  <si>
    <t>Exempt</t>
  </si>
  <si>
    <t>2022-12-28</t>
  </si>
  <si>
    <t>2022-12-31</t>
  </si>
  <si>
    <t>Weather</t>
  </si>
  <si>
    <t>2022 | 2023 | 2024 | 2025</t>
  </si>
  <si>
    <t xml:space="preserve">[Reason for Change in In-Service Date]  SDGE does not manage the construction of these projects and that it up to the APS and IID to manage the construction that would be great, other wise I would say customer action </t>
  </si>
  <si>
    <t xml:space="preserve"> A KYOCERA BK 30 REPLACEMENT</t>
  </si>
  <si>
    <t>‐117.140267</t>
  </si>
  <si>
    <t>San Diego</t>
  </si>
  <si>
    <t xml:space="preserve">Replace Bk30 at Kyocera Substation </t>
  </si>
  <si>
    <t>Substation - Transformer</t>
  </si>
  <si>
    <t>Replace</t>
  </si>
  <si>
    <t>6</t>
  </si>
  <si>
    <t>69 kV</t>
  </si>
  <si>
    <t>2019-1024</t>
  </si>
  <si>
    <t>Construction (50%-75%)</t>
  </si>
  <si>
    <t>2023-06-12</t>
  </si>
  <si>
    <t>2020-12-31</t>
  </si>
  <si>
    <t>2025-01-01</t>
  </si>
  <si>
    <t>2023 | 2024 | 2025</t>
  </si>
  <si>
    <t/>
  </si>
  <si>
    <t>2020-04-03</t>
  </si>
  <si>
    <t>2020 | 2021 | 2022</t>
  </si>
  <si>
    <t xml:space="preserve"> A APS SDGE PORTION APS 2016 2017</t>
  </si>
  <si>
    <t>Replace Other Substation Equipment</t>
  </si>
  <si>
    <t>2016-10-31</t>
  </si>
  <si>
    <t>2017-12-30</t>
  </si>
  <si>
    <t xml:space="preserve"> A MIGUEL BK80 12KV TERTIARY BREAK</t>
  </si>
  <si>
    <t>‐116.985983</t>
  </si>
  <si>
    <t>Unincorporated San Diego County</t>
  </si>
  <si>
    <t>Replace (3) 12kv Tertiary breakers; install two SEL487 relay panels</t>
  </si>
  <si>
    <t>Substation - Circuit Breaker</t>
  </si>
  <si>
    <t>23; 23; 23</t>
  </si>
  <si>
    <t>230 kV | 69 kV | 12 kV</t>
  </si>
  <si>
    <t>2019-1018</t>
  </si>
  <si>
    <t>2019-02-08; 2019 -12-10</t>
  </si>
  <si>
    <t>2020-05-04</t>
  </si>
  <si>
    <t>2019-12-31</t>
  </si>
  <si>
    <t>2023-11-14</t>
  </si>
  <si>
    <t>2023 | 2024</t>
  </si>
  <si>
    <t xml:space="preserve"> X BAY BLVD BANK 70 REPLACEMENT</t>
  </si>
  <si>
    <t>‐117.0950833</t>
  </si>
  <si>
    <t>Chula Vista, San Diego</t>
  </si>
  <si>
    <t xml:space="preserve">Remove and replace BK 70 AT Bay Boulevard </t>
  </si>
  <si>
    <t>10</t>
  </si>
  <si>
    <t>230 kV</t>
  </si>
  <si>
    <t>2020-1008</t>
  </si>
  <si>
    <t>2020-07-21</t>
  </si>
  <si>
    <t>2020-09-12</t>
  </si>
  <si>
    <t xml:space="preserve"> A BAY BLVD DRAINAGE IMPROVEMENTS</t>
  </si>
  <si>
    <t>Site improvements at Bay Blvd</t>
  </si>
  <si>
    <t>Other - Civil</t>
  </si>
  <si>
    <t>Location, Environmental Conditions</t>
  </si>
  <si>
    <t>Construct Roads/Gates/Culverts</t>
  </si>
  <si>
    <t>2020 | 2021</t>
  </si>
  <si>
    <t xml:space="preserve">[Age of Asset] Site development project.  No Asset IDs  
</t>
  </si>
  <si>
    <t>San Diego County</t>
  </si>
  <si>
    <t>CAISO Transmission Planning Standards [See Notes for NERC Compliance and contingency code, WECC Requirement (and the specific requirement)]</t>
  </si>
  <si>
    <t>3rd Party Damage</t>
  </si>
  <si>
    <t>NERC CIP Compliance</t>
  </si>
  <si>
    <t>CPUC</t>
  </si>
  <si>
    <t>2024 | 2025</t>
  </si>
  <si>
    <t>[See Notes for NERC Compliance and contingency code, WECC Requirement (and the specific requirement)]</t>
  </si>
  <si>
    <t xml:space="preserve"> A SAN ONOFRE RTV COATING</t>
  </si>
  <si>
    <t xml:space="preserve">Remove existing Insulgrease on all 230kV insulators and bushings at San Onofre Substation. Apply RTV silicone (room-temperature vulcanizing silicone) coating to all 230kV insulators and bushings.  </t>
  </si>
  <si>
    <t>Tier 2</t>
  </si>
  <si>
    <t>230kV</t>
  </si>
  <si>
    <t xml:space="preserve"> [See Notes for NERC Compliance and contingency code, WECC Requirement (and the specific requirement)] </t>
  </si>
  <si>
    <t>John Ritter</t>
  </si>
  <si>
    <t>[Programmatic]  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</si>
  <si>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</si>
  <si>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</si>
  <si>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System Operations</t>
  </si>
  <si>
    <t>Tier 1| Tier 2 | Tier 3</t>
  </si>
  <si>
    <t>QB00008</t>
  </si>
  <si>
    <t>2020 | 2021 | 2024 | 2025</t>
  </si>
  <si>
    <t xml:space="preserve"> [Primary Purpose] Easement review
</t>
  </si>
  <si>
    <t xml:space="preserve"> A TL 682 LA JOLLA ET EASEMENT</t>
  </si>
  <si>
    <t xml:space="preserve">Renewal of TL 682 Transmission Easement </t>
  </si>
  <si>
    <t>Safety - Line Right of Way Access</t>
  </si>
  <si>
    <t>69</t>
  </si>
  <si>
    <t>EA</t>
  </si>
  <si>
    <t>BIA</t>
  </si>
  <si>
    <t>NA[See Notes]</t>
  </si>
  <si>
    <t xml:space="preserve">[Primary Purpose] Easement review
[Age of Asset] Unable to provide age of asset for Programmatic budget codes
</t>
  </si>
  <si>
    <t>Jennifer Lewis</t>
  </si>
  <si>
    <t xml:space="preserve"> A BLANKET ELEC TRANS TOOLS &amp; R6</t>
  </si>
  <si>
    <t>Purchase tools and test equipment to support the safe and reliable operations of substation and transmission equipment.</t>
  </si>
  <si>
    <t>Tier 1 | Tier 2 | Tier 3</t>
  </si>
  <si>
    <t>Individual Project Review Required</t>
  </si>
  <si>
    <t>QB00145</t>
  </si>
  <si>
    <t xml:space="preserve">CPUC </t>
  </si>
  <si>
    <t>2025-12-31</t>
  </si>
  <si>
    <t>Monthly</t>
  </si>
  <si>
    <t xml:space="preserve">[Project Description - Action Taken] Easements are required to protect the placement, access to, and maintenance of SDG&amp;E facilities. 
[NERC / WECC / CAISO Standard / Requirement / Contingency] In order to comply with CAISO standards, appropriate tools are required to test the operational function of our substation and transmission equipment and facilities.  
</t>
  </si>
  <si>
    <t>Fidel Castro</t>
  </si>
  <si>
    <t>[Programmatic]  Electric Distribution Tools &amp; Equipment</t>
  </si>
  <si>
    <t>This blanket budget provides funding for new tools and equipment required by field personnel to inspect, operate and maintain the electric distribution system.</t>
  </si>
  <si>
    <t>Other</t>
  </si>
  <si>
    <t>Safety</t>
  </si>
  <si>
    <t>Automation</t>
  </si>
  <si>
    <t>QB00028</t>
  </si>
  <si>
    <t>[CPUC Fire Threat Zone/Rating] it is not a physical project and therefore does not have an HFTD location.</t>
  </si>
  <si>
    <t xml:space="preserve"> A 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</si>
  <si>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</si>
  <si>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Multiple Options [See Notes]</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</si>
  <si>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[Project Description - Action Taken (2)] The main purpose of the project is to improve safety so multiple options are taken.
[CPUC Fire Threat Zone/Rating] it is not a physical project and therefore does not have an HFTD location.</t>
  </si>
  <si>
    <t>Eyasu Amare / Sophia Tran</t>
  </si>
  <si>
    <t>[Programmatic]  IT Enterprise Network Operation Support</t>
  </si>
  <si>
    <t>IT Enterprise Network Operation Support</t>
  </si>
  <si>
    <t>Other - IT</t>
  </si>
  <si>
    <t>Other [See Notes]</t>
  </si>
  <si>
    <t xml:space="preserve">[Proj Descrip- Action Taken (2)] new replace, upgrade/retrofit  
[Primary Purpose] Age/End of Life and Reliability 
[Age of Asset]  IT Projects no asset 
 </t>
  </si>
  <si>
    <t>Data Center Network Core Implementation</t>
  </si>
  <si>
    <t>Replacing End of Support Data Centers</t>
  </si>
  <si>
    <t>Age/End of Life</t>
  </si>
  <si>
    <t>Age/Condition</t>
  </si>
  <si>
    <t xml:space="preserve">T000021 </t>
  </si>
  <si>
    <t xml:space="preserve">P000021 </t>
  </si>
  <si>
    <t>2020-10-14; 2020-10-14</t>
  </si>
  <si>
    <t>2020-09-30</t>
  </si>
  <si>
    <t>2021-07-31</t>
  </si>
  <si>
    <t xml:space="preserve">[Age of Asset]  IT Projects no asest </t>
  </si>
  <si>
    <t>SDGE LAN Refresh</t>
  </si>
  <si>
    <t>Replacing End of Support SDGE IT Network Hardware</t>
  </si>
  <si>
    <t xml:space="preserve">T19005  </t>
  </si>
  <si>
    <t xml:space="preserve">PT19005  </t>
  </si>
  <si>
    <t>2019-03-15</t>
  </si>
  <si>
    <t>2021 | 2022 | 2023 | 2025</t>
  </si>
  <si>
    <t xml:space="preserve">[CPUC Status] NA 
[Age of Asset]  IT Projects no asset 
</t>
  </si>
  <si>
    <t>SDGE WAN and PNER Network Refresh</t>
  </si>
  <si>
    <t>Replacing End of Support SDGE IT Network Hardware, Retrofit Communications Towers</t>
  </si>
  <si>
    <t xml:space="preserve">T19027  </t>
  </si>
  <si>
    <t xml:space="preserve">PT19027  </t>
  </si>
  <si>
    <t>2019-07-28</t>
  </si>
  <si>
    <t>2022 | 2023 | 2024</t>
  </si>
  <si>
    <t xml:space="preserve">[Age of Asset]  IT Projects no asset 
</t>
  </si>
  <si>
    <t>SDGE FAN VOICE RADIO &amp; DISPATCH PROJECT</t>
  </si>
  <si>
    <t>Upgrade voice radio system.</t>
  </si>
  <si>
    <t>Other - Operations Tech</t>
  </si>
  <si>
    <t>Removal</t>
  </si>
  <si>
    <t xml:space="preserve">T17027  </t>
  </si>
  <si>
    <t xml:space="preserve">PT17027  </t>
  </si>
  <si>
    <t>2017-11-14; 2019-09-03</t>
  </si>
  <si>
    <t>2017-11-15</t>
  </si>
  <si>
    <t>2019-12-10</t>
  </si>
  <si>
    <t>2020 | 2021 | 2022 | 2024 | 2025</t>
  </si>
  <si>
    <t xml:space="preserve">[CPUC Status] NA 
[Age of Asset]  IT Projects no asset </t>
  </si>
  <si>
    <t>Distributed Communications Reliability Initiative</t>
  </si>
  <si>
    <t>Install a Private LTE network to serve HFTD 2 and 3</t>
  </si>
  <si>
    <t xml:space="preserve">HFTD Tier 2 | HFTD Tier 3 </t>
  </si>
  <si>
    <t xml:space="preserve">T18018  </t>
  </si>
  <si>
    <t xml:space="preserve">PT18018  </t>
  </si>
  <si>
    <t>2018-09-06; 2019-12-02</t>
  </si>
  <si>
    <t>2018-09-27</t>
  </si>
  <si>
    <t>2020-10-31</t>
  </si>
  <si>
    <t>2020 | 2021 | 2025</t>
  </si>
  <si>
    <t xml:space="preserve">[CPUC Status] NA 
[Age of Asset]  IT Projects no asset 
[Project Description - What] Reliability and Wildfire Mitigation 
</t>
  </si>
  <si>
    <t>2026 SDGE Network Modernization</t>
  </si>
  <si>
    <t>BD25074</t>
  </si>
  <si>
    <t>2026 SDGE Network Modernization | BD25074| NA | NA</t>
  </si>
  <si>
    <t>Planning</t>
  </si>
  <si>
    <t>2026-01-15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</si>
  <si>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</si>
  <si>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</si>
  <si>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</si>
  <si>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 xml:space="preserve"> A MIGUEL FIRE PROTECTION SYS REPR</t>
  </si>
  <si>
    <t>Repair of Fire protection system at Miguel</t>
  </si>
  <si>
    <t>Fire Protection</t>
  </si>
  <si>
    <t>69 |500</t>
  </si>
  <si>
    <t>2019-10-03</t>
  </si>
  <si>
    <t>2021-05-18</t>
  </si>
  <si>
    <t xml:space="preserve">[Age of Asset] Site development project.  No Assets.
</t>
  </si>
  <si>
    <t>A GLENCLIFF SUB ADD 69KV BREAKER</t>
  </si>
  <si>
    <t>Install 69kv Bank Breaker and SCADA</t>
  </si>
  <si>
    <t>HFTD Tier 3</t>
  </si>
  <si>
    <t>2014-01091-ZZ</t>
  </si>
  <si>
    <t>2018-03-04;2019-09-16; 2019-09-16</t>
  </si>
  <si>
    <t>2020-07-27</t>
  </si>
  <si>
    <t>2019-03-01</t>
  </si>
  <si>
    <t>2020-11-04</t>
  </si>
  <si>
    <t>2022 | 2024 | 2025</t>
  </si>
  <si>
    <t xml:space="preserve"> G MERCHANT REPLACE 3 230KV BRKR</t>
  </si>
  <si>
    <t>Nevada</t>
  </si>
  <si>
    <t>Replace (3) Oil circuit breakers due to leaking hydraulic fluid</t>
  </si>
  <si>
    <t>27; 27; 27</t>
  </si>
  <si>
    <t>2020-1020</t>
  </si>
  <si>
    <t>Construction (over 75%)</t>
  </si>
  <si>
    <t>2022-03-31</t>
  </si>
  <si>
    <t>2020-11-30</t>
  </si>
  <si>
    <t>2025-08-05</t>
  </si>
  <si>
    <t>Project Design</t>
  </si>
  <si>
    <t>Multiple Options[See Notes]</t>
  </si>
  <si>
    <t xml:space="preserve"> A PENAQUITOS SUBST 230KV DISCON R</t>
  </si>
  <si>
    <t>San Diego, San Diego</t>
  </si>
  <si>
    <t>Replace (8) 230kv disconnect switches, (8) 230kv disconnect stands, and upgrade the associated concrete pads</t>
  </si>
  <si>
    <t>Substation - Switch</t>
  </si>
  <si>
    <t>2019-1022</t>
  </si>
  <si>
    <t>2020-04-13</t>
  </si>
  <si>
    <t>2020-07-06</t>
  </si>
  <si>
    <t>2021-07-27</t>
  </si>
  <si>
    <t>2021 | 2022</t>
  </si>
  <si>
    <t xml:space="preserve">[Reason for Change in In-Service Date] In-service dates are estimated during preliminary design and permitting stages of a project; date shifted to reflect actual design and construction schedule. </t>
  </si>
  <si>
    <t>5983087 - A KEARNY 69/12KV SUBSTATION DEMO</t>
  </si>
  <si>
    <t>‐117.134662</t>
  </si>
  <si>
    <t>Remove all equipment associated with Kearny Substation</t>
  </si>
  <si>
    <t>Compliance - Remove Idle Facilities</t>
  </si>
  <si>
    <t>Wires - New Substation Alternative</t>
  </si>
  <si>
    <t>2019-06-08</t>
  </si>
  <si>
    <t>2019-12-30</t>
  </si>
  <si>
    <t xml:space="preserve">[Project Description - What] The description of this project is demolish the existing equipment  at the substation 
[Age of Asset]Demolition of substation structures (i.e. steel and foundations). No asset IDs. 
</t>
  </si>
  <si>
    <t xml:space="preserve">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</si>
  <si>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</si>
  <si>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</si>
  <si>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2020-1038</t>
  </si>
  <si>
    <t>2022-01-10</t>
  </si>
  <si>
    <t>2023-04-14</t>
  </si>
  <si>
    <t xml:space="preserve"> A MELROSE 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</si>
  <si>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</si>
  <si>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</si>
  <si>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</si>
  <si>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</si>
  <si>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</si>
  <si>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</si>
  <si>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2017-09-18</t>
  </si>
  <si>
    <t>2018-12-01</t>
  </si>
  <si>
    <t>2018-07-04</t>
  </si>
  <si>
    <t xml:space="preserve">
</t>
  </si>
  <si>
    <t xml:space="preserve"> A MURRAY 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</si>
  <si>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</si>
  <si>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Age/Condition - Replace Other Substation Equipment</t>
  </si>
  <si>
    <t>2014-00247-ZZ</t>
  </si>
  <si>
    <t>2017-07-25</t>
  </si>
  <si>
    <t>2021-06-09</t>
  </si>
  <si>
    <t xml:space="preserve"> A MIRAMAR SUBST RPL 12KV BRKERS</t>
  </si>
  <si>
    <t>‐117.135777</t>
  </si>
  <si>
    <t xml:space="preserve">Replace (16) 12kv obsolete breakers and relays at Miramar Substation as part of FLSR PROJECT </t>
  </si>
  <si>
    <t>58; 36; 36; 36</t>
  </si>
  <si>
    <t>69kV</t>
  </si>
  <si>
    <t>2014-01096-ZZ</t>
  </si>
  <si>
    <t>2019-02-20</t>
  </si>
  <si>
    <t>2019-11-01</t>
  </si>
  <si>
    <t>2020 | 2023</t>
  </si>
  <si>
    <t xml:space="preserve"> A IMPERIAL VALLEY MAST RPL</t>
  </si>
  <si>
    <t>32.718.00</t>
  </si>
  <si>
    <t>Imperial County</t>
  </si>
  <si>
    <t>Replacement of Static Mast structures at Imperial Valley</t>
  </si>
  <si>
    <t>500 kV</t>
  </si>
  <si>
    <t>2020-1025</t>
  </si>
  <si>
    <t>2021-01-25</t>
  </si>
  <si>
    <t>2024-01-17</t>
  </si>
  <si>
    <t xml:space="preserve">
[Age of Asset] Static Mast replacement.  No Asset.  
</t>
  </si>
  <si>
    <t xml:space="preserve"> A MELROSE SUBST SITE DEV IMPROV</t>
  </si>
  <si>
    <t xml:space="preserve">Site improvements at Melrose </t>
  </si>
  <si>
    <t>2019-05-15</t>
  </si>
  <si>
    <t>[See Notes for NERC Compliance and contingency code, WECC Requirement (and the specific requirement)]  
[Primary Purpose] This is a site development project.
[Age of Asset] Site development project.  No Asset IDs  
[Current Projected or Actual In-Service Date] No date, it is a construction project. No asset.</t>
  </si>
  <si>
    <t xml:space="preserve"> A PENASQUITOS AGING INFRS. 138K B</t>
  </si>
  <si>
    <t>Replace (5)138kV Breakers</t>
  </si>
  <si>
    <t>Age/Condition - Replace Breakers</t>
  </si>
  <si>
    <t>61; 58; 45; 45</t>
  </si>
  <si>
    <t>138 kV</t>
  </si>
  <si>
    <t>2021-2457</t>
  </si>
  <si>
    <t>On Hold</t>
  </si>
  <si>
    <t>2025-09-05</t>
  </si>
  <si>
    <t>2027-07-07</t>
  </si>
  <si>
    <t>[Reason for Change in In-Service Date] Project was placed on hold under further review.</t>
  </si>
  <si>
    <t xml:space="preserve"> A SAN YSIDRO AGING INFRAS. 69KV B</t>
  </si>
  <si>
    <t>Replace (3) 69kV circuit breakers at San Ysidro</t>
  </si>
  <si>
    <t>52; 52; 32</t>
  </si>
  <si>
    <t>HFTD Tier 2</t>
  </si>
  <si>
    <t>69 kV | 12 kV</t>
  </si>
  <si>
    <t>2020-1030</t>
  </si>
  <si>
    <t>2021-08-02</t>
  </si>
  <si>
    <t>2023-03-14</t>
  </si>
  <si>
    <t xml:space="preserve"> A 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</si>
  <si>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</si>
  <si>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</si>
  <si>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 xml:space="preserve">32;32 </t>
  </si>
  <si>
    <t>69KV</t>
  </si>
  <si>
    <t>12 kV | 69KV</t>
  </si>
  <si>
    <t>2024-4121</t>
  </si>
  <si>
    <t>2024-07-15</t>
  </si>
  <si>
    <t>2025-01-31</t>
  </si>
  <si>
    <t>2025-08-06</t>
  </si>
  <si>
    <t xml:space="preserve"> [CPUC Status] - new project no construction date</t>
  </si>
  <si>
    <t xml:space="preserve"> A FELECITAS AGING INFRAS. 69KV BR</t>
  </si>
  <si>
    <t>Escondido, San Diego County</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</si>
  <si>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</si>
  <si>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52;49;40</t>
  </si>
  <si>
    <t>2019-1021</t>
  </si>
  <si>
    <t>Engineering more than 50% complete</t>
  </si>
  <si>
    <t>2025-09-18</t>
  </si>
  <si>
    <t>2026-02-17</t>
  </si>
  <si>
    <t xml:space="preserve"> [CPUC Status] NA</t>
  </si>
  <si>
    <t>Ken Fridley</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</si>
  <si>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</si>
  <si>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</si>
  <si>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</si>
  <si>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69 | 500</t>
  </si>
  <si>
    <t>373MVA</t>
  </si>
  <si>
    <t>QBL0001</t>
  </si>
  <si>
    <t xml:space="preserve">[CPUC Status] | NA 
[Types of Analyses] Information security 
</t>
  </si>
  <si>
    <t xml:space="preserve"> A CEC RAS   SONGS</t>
  </si>
  <si>
    <t>SONGS substation CEC-RAS upgrades</t>
  </si>
  <si>
    <t>Substation - Protection Relay</t>
  </si>
  <si>
    <t>2.85</t>
  </si>
  <si>
    <t>2022-2912</t>
  </si>
  <si>
    <t>2022-05-11; 2022-05-1; 2022-05-11</t>
  </si>
  <si>
    <t>2023-03-06</t>
  </si>
  <si>
    <t>2023-08-03</t>
  </si>
  <si>
    <t>2023-08-20</t>
  </si>
  <si>
    <t xml:space="preserve">[CPUC Status] Exempt 
 [Types of Analyses] Information security
</t>
  </si>
  <si>
    <t xml:space="preserve"> A TSA VSUBS 2022</t>
  </si>
  <si>
    <t>Transmission System Automation (TSA) upgrades at multiple substations</t>
  </si>
  <si>
    <t xml:space="preserve"> [CPUC Status] Exempt </t>
  </si>
  <si>
    <t xml:space="preserve"> A SYSTEM AUTOMATION CROSSBOW</t>
  </si>
  <si>
    <t>Siemens Crossbow deployments at multiple substations</t>
  </si>
  <si>
    <t>69 | 138</t>
  </si>
  <si>
    <t>2023-12-31</t>
  </si>
  <si>
    <t xml:space="preserve"> A SYSTEM AUTOMATION VARIOUS SUBS</t>
  </si>
  <si>
    <t>2020-2045</t>
  </si>
  <si>
    <t>2020-08-12</t>
  </si>
  <si>
    <t>2020-04-01</t>
  </si>
  <si>
    <t>2021-04-08</t>
  </si>
  <si>
    <t>Prioritization</t>
  </si>
  <si>
    <t>2021 | 2022 | 2023 | 2024</t>
  </si>
  <si>
    <t xml:space="preserve"> [CPUC Status] | NA </t>
  </si>
  <si>
    <t>53531  A ADVANCED RLY EVENT RETRVL SUBS</t>
  </si>
  <si>
    <t>Advanced Relay Event Retrieval (ARER) deployments at multiple substations</t>
  </si>
  <si>
    <t>2022-09-12</t>
  </si>
  <si>
    <t>[CPUC Status] Exempt 
[Utility Unique ID #1] 2019-2110 , 2014-00646-ZZ , 2022-2975 , 2021-2053 , 2021-2130 , 2021-2134 , 2023-3594 , 2023-3600 , 2023-3602 , 2021-2023 , 2021-2022 , 2021-2020 , 2021-2024 , 2021-2461 , 2022-2919 , 2022-2927 , 2021-2131 , 2020-2051 , 2020-2080 , 2021-2003 , 2021-2315</t>
  </si>
  <si>
    <t xml:space="preserve"> A MISSION SUBSTATION: PILOT TELEP</t>
  </si>
  <si>
    <t>Pilot Telephony deployment at Mission Substation</t>
  </si>
  <si>
    <t>2016-12-31</t>
  </si>
  <si>
    <t>2021 | 2022 | 2023</t>
  </si>
  <si>
    <t xml:space="preserve"> [CPUC Status]  NA </t>
  </si>
  <si>
    <t xml:space="preserve"> A BERNARDO SUBST. RPL TL689 RLY</t>
  </si>
  <si>
    <t>Upgrade 69kV relays and supporting equipment for TL689.</t>
  </si>
  <si>
    <t>3.32</t>
  </si>
  <si>
    <t>2.51 (BE) / 4.66 (ES)</t>
  </si>
  <si>
    <t>2014-01115-ZZ</t>
  </si>
  <si>
    <t>2019-09-16; 2019-01-28; 2019-09-16; 2019-01-25;  2019-01-25</t>
  </si>
  <si>
    <t>2021-04-27</t>
  </si>
  <si>
    <t>2024-12-26</t>
  </si>
  <si>
    <t>2021 | 2022 | 2024 | 2025</t>
  </si>
  <si>
    <t xml:space="preserve">[CPUC Status] Exempt </t>
  </si>
  <si>
    <t>Irina Petersen</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</si>
  <si>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</si>
  <si>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</si>
  <si>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</si>
  <si>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</si>
  <si>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</si>
  <si>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Coastal</t>
  </si>
  <si>
    <t>2014-00047-ZZ</t>
  </si>
  <si>
    <t>QS00008</t>
  </si>
  <si>
    <t>Final Certified</t>
  </si>
  <si>
    <t>IS/MND</t>
  </si>
  <si>
    <t>PTC</t>
  </si>
  <si>
    <t>2017-03-06</t>
  </si>
  <si>
    <t>Approved</t>
  </si>
  <si>
    <t>2018-01-22</t>
  </si>
  <si>
    <t>2019-07-02</t>
  </si>
  <si>
    <t>Completed Early</t>
  </si>
  <si>
    <t xml:space="preserve">[NERC / WECC / CAISO Standard / Requirement / Contingency] Load growth in the area (Distribution Planning load forecast driver)
[Types of Analyses] Distribution Planning
</t>
  </si>
  <si>
    <t xml:space="preserve"> Omar Miranda</t>
  </si>
  <si>
    <t xml:space="preserve"> SOCRE </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</si>
  <si>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</si>
  <si>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</si>
  <si>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</si>
  <si>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</si>
  <si>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</si>
  <si>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2025-04-29, 2025-04-30</t>
  </si>
  <si>
    <t>55; 62; 52;56; 54; 19</t>
  </si>
  <si>
    <t>Steady State Power Flow System Analysis</t>
  </si>
  <si>
    <t>Wires - Reconductor/Line Rebuild Alternative</t>
  </si>
  <si>
    <t>Transmission Foundations At Talega Canyon Containing High Levels Of Sulfate. Mitigated By Installing Cmp To Protect Concrete Foundations</t>
  </si>
  <si>
    <t>2014-00068-ZZ</t>
  </si>
  <si>
    <t>QS00009</t>
  </si>
  <si>
    <t>2009 | 2011</t>
  </si>
  <si>
    <t xml:space="preserve">https://www.caiso.com/planning/Pages/TransmissionPlanning/2010-2011TransmissionPlanningProcess.aspx  </t>
  </si>
  <si>
    <t>EIR</t>
  </si>
  <si>
    <t>CPCN</t>
  </si>
  <si>
    <t>2012-05-18</t>
  </si>
  <si>
    <t>2018-06-29</t>
  </si>
  <si>
    <t>2015-05-18</t>
  </si>
  <si>
    <t>2024-08-15</t>
  </si>
  <si>
    <t>Construction Delays</t>
  </si>
  <si>
    <t>381000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</si>
  <si>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</si>
  <si>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</si>
  <si>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</si>
  <si>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</si>
  <si>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</si>
  <si>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2020 | 2021 | 2022 | 2023 | 2024</t>
  </si>
  <si>
    <t xml:space="preserve"> A ES SPARE 69KV &amp; 138KV CBS</t>
  </si>
  <si>
    <t>The purchase of (2) spare 69kV, 3000A, 63kA Circuit Breakers, and (2) spare 138kV, 3000A, 63kA Circuit Breakers. These breakers will be used on substation capital projects and emergency breaker replacements</t>
  </si>
  <si>
    <t>FALSE</t>
  </si>
  <si>
    <t>69kV and 13kV</t>
  </si>
  <si>
    <t>69kV and 138kV</t>
  </si>
  <si>
    <t>Material</t>
  </si>
  <si>
    <t>Tami Harbin</t>
  </si>
  <si>
    <t>[Programmatic]  Fiber Build Initiative</t>
  </si>
  <si>
    <t xml:space="preserve">Install ADSS and or OPGW fiber optic cables on existing Transmission overhead structures and  build UG facilities as required. </t>
  </si>
  <si>
    <t>QBL0025</t>
  </si>
  <si>
    <t>Categorical Exclusion</t>
  </si>
  <si>
    <t>2024-12-30</t>
  </si>
  <si>
    <t xml:space="preserve"> A FBI TL23012/53/674(Z710041 ENC)</t>
  </si>
  <si>
    <t>Encinitas, San Diego</t>
  </si>
  <si>
    <t>TL674/6973 EN-DM with OPGW attachments on TL23012/23053.</t>
  </si>
  <si>
    <t>2019-4010</t>
  </si>
  <si>
    <t>2020-01-20; 2024 -09-04</t>
  </si>
  <si>
    <t>Engineering less than 50% complete</t>
  </si>
  <si>
    <t>2027-03-03</t>
  </si>
  <si>
    <t>2021-10-30</t>
  </si>
  <si>
    <t>2027-09-01</t>
  </si>
  <si>
    <t xml:space="preserve">[Project Description - What] Fiber infrastructure build supports all transmission, distribution, substation, and IT equipment/systems for operations, metering, and real time monitoring.
</t>
  </si>
  <si>
    <t xml:space="preserve"> A TL23011 SAN LUIS REY   E R4</t>
  </si>
  <si>
    <t>Oceanside, Carlsbad</t>
  </si>
  <si>
    <t>Engineer and construct 9-miles of overhead OPGW-96 fiber optic cable structures between Encina 230kV and San Luis Rey substations.</t>
  </si>
  <si>
    <t>2014-00482-ZZ</t>
  </si>
  <si>
    <t>2019-08-26</t>
  </si>
  <si>
    <t>2020-03-31</t>
  </si>
  <si>
    <t>2019-12-28</t>
  </si>
  <si>
    <t xml:space="preserve"> [CEQA Status] Exempt  
[CPUC Status] Exempt 
[Project Description - What] Fiber infrastructure build supports all transmission, distribution, substation, and IT equipment/systems for operations, metering, and real time monitoring. 
</t>
  </si>
  <si>
    <t xml:space="preserve"> A TL13809 PROCTOR VLY TO T R2</t>
  </si>
  <si>
    <t>Engineer and construct 3.2 miles of overhead OPGW-96 fiber optic cable from Proctor Valley to Telegraph Canyon substations.</t>
  </si>
  <si>
    <t>2014-00957-ZZ</t>
  </si>
  <si>
    <t>2020-01-27</t>
  </si>
  <si>
    <t>2020-03-27</t>
  </si>
  <si>
    <t xml:space="preserve">[CPUC Status] Exempt 
[Project Description - What] Fiber infrastructure build supports all transmission, distribution, substation, and IT equipment/systems for operations, metering, and real time monitoring. 
</t>
  </si>
  <si>
    <t xml:space="preserve"> A FBI_TL23027 TL23028 MS OT</t>
  </si>
  <si>
    <t>This project installs a fiber optic connection between Mission Substation and Oldtown Substation.</t>
  </si>
  <si>
    <t>2009-00015-ZZ</t>
  </si>
  <si>
    <t>2018-09-13; 2019-11-20; 2019-11-20</t>
  </si>
  <si>
    <t>2020-09-15</t>
  </si>
  <si>
    <t>2021-09-30</t>
  </si>
  <si>
    <t>2022-05-24</t>
  </si>
  <si>
    <t xml:space="preserve">[CPUC Status] Exempt 
[Project Description - What] Fiber infrastructure build supports all transmission, distribution, substation, and IT equipment/systems for operations, metering, and real time monitoring. 
</t>
  </si>
  <si>
    <t xml:space="preserve"> A 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</si>
  <si>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</si>
  <si>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33;33;33;33;60</t>
  </si>
  <si>
    <t>2014-00430-ZZ</t>
  </si>
  <si>
    <t>2020-02-10; 2020-02-26; 2020-02-26</t>
  </si>
  <si>
    <t>2021-02-24</t>
  </si>
  <si>
    <t>2021-04-01</t>
  </si>
  <si>
    <t>2021-08-23</t>
  </si>
  <si>
    <t xml:space="preserve"> A TL608 STREAMVIEWCHOLLAS R4</t>
  </si>
  <si>
    <t>This project installs ADSS fiber from Streamview to Chollas</t>
  </si>
  <si>
    <t>2010-00005-ZZ</t>
  </si>
  <si>
    <t>2026-05-13</t>
  </si>
  <si>
    <t>2013-12-31</t>
  </si>
  <si>
    <t>2028-10-10</t>
  </si>
  <si>
    <t>[CPUC Status] Exempt 
[Reason for Change in In-Service Date] This project has been suspended due to CPUC budget cuts.</t>
  </si>
  <si>
    <t xml:space="preserve"> A TL 621 PARADISEMIGUEL F R2</t>
  </si>
  <si>
    <t>This projects installs 6.7miles of ADSS friber from Paradise to Miguel</t>
  </si>
  <si>
    <t>2010-00007-ZZ</t>
  </si>
  <si>
    <t>2018-04-10; 2020-04-24; 2020-04-24</t>
  </si>
  <si>
    <t>2025-04-30</t>
  </si>
  <si>
    <t>2019-12-01</t>
  </si>
  <si>
    <t>2026-11-04</t>
  </si>
  <si>
    <t xml:space="preserve"> A TL697 SAN LUIS REY  OCE R7</t>
  </si>
  <si>
    <t>Oceanside, San diego County</t>
  </si>
  <si>
    <t>This project consists of installing 1 cable (192-Fiber DNA-33029 ADSS) on TL697 between structures Z229374 to Z28268, approximately 1 mile. Project includes installing 3 fiber optic splice locations and 26 ADSS connections.</t>
  </si>
  <si>
    <t>2014-00465-ZZ</t>
  </si>
  <si>
    <t>2020-01-27; 2020-01-16</t>
  </si>
  <si>
    <t>2020-11-01</t>
  </si>
  <si>
    <t>2022-09-28</t>
  </si>
  <si>
    <t xml:space="preserve"> A FIBER BUILD TL6973 DM NCW</t>
  </si>
  <si>
    <t>Project consists of installing two miles of UG fiber &amp; 1 mile of OPGW to connect DM-NCW</t>
  </si>
  <si>
    <t>3</t>
  </si>
  <si>
    <t>230kv</t>
  </si>
  <si>
    <t>2020-4032</t>
  </si>
  <si>
    <t>2020-11-13; 2023-03-07; 2021-12-15</t>
  </si>
  <si>
    <t>2025-09-02</t>
  </si>
  <si>
    <t>Outage</t>
  </si>
  <si>
    <t xml:space="preserve"> A TL608 STRUCTURE RPL GRP 1</t>
  </si>
  <si>
    <t>Pole Replacements for Z371045, Z473553. This project is only a pole replacement and does not include any mileage.</t>
  </si>
  <si>
    <t>2022-3097</t>
  </si>
  <si>
    <t>2022-10-10; 2022-12-01</t>
  </si>
  <si>
    <t>2025-10-31</t>
  </si>
  <si>
    <t xml:space="preserve"> A FBI TL652/653 METRO STATION F</t>
  </si>
  <si>
    <t>This is a fiber project for reverse engineering from Metro- Station F Sub, to bring this TL up to SDGE standards</t>
  </si>
  <si>
    <t>3.7</t>
  </si>
  <si>
    <t>2021-2218</t>
  </si>
  <si>
    <t>2026-11-16</t>
  </si>
  <si>
    <t xml:space="preserve"> A TL674 RANCHO SANTA FE TO Z12322</t>
  </si>
  <si>
    <t>San Diego, Rancho Santa Fe</t>
  </si>
  <si>
    <t>this Fiber Build Project involves installation of 3.5-miles of fiber optic cable (ADSS) on existing TL674 between structures Z710041 (TL23012/23053) and Z192874 (TL674). </t>
  </si>
  <si>
    <t>3.5</t>
  </si>
  <si>
    <t>2019-4013</t>
  </si>
  <si>
    <t>2028-03-17</t>
  </si>
  <si>
    <t xml:space="preserve"> A TL652 STATION F WABASH F R4</t>
  </si>
  <si>
    <t>TL652 F-WAC Fiber Build</t>
  </si>
  <si>
    <t>2010-00003-ZZ</t>
  </si>
  <si>
    <t xml:space="preserve"> A TL607 WABASH STREAMVIEW R4</t>
  </si>
  <si>
    <t>TL607 WAC-SR Fiber Build</t>
  </si>
  <si>
    <t>2010-00004-ZZ</t>
  </si>
  <si>
    <t>2020-02-10; 2020-04-24; 2020-04-24</t>
  </si>
  <si>
    <t>2027-01-26</t>
  </si>
  <si>
    <t xml:space="preserve"> A TL 624 JAMACHA EL CAJON R4</t>
  </si>
  <si>
    <t>El Cajon, Rancho Stana Fe</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</si>
  <si>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distrubution.</t>
  </si>
  <si>
    <t>4.8</t>
  </si>
  <si>
    <t>2010-00010-ZZ</t>
  </si>
  <si>
    <t>2020-02-10; 2018-03-02</t>
  </si>
  <si>
    <t>2027-03-22</t>
  </si>
  <si>
    <t xml:space="preserve"> A 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</si>
  <si>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</si>
  <si>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2010-00012-ZZ</t>
  </si>
  <si>
    <t>2020-02-10; 2020-02-26; 2018-02-01</t>
  </si>
  <si>
    <t>2026-12-14</t>
  </si>
  <si>
    <t xml:space="preserve"> A TL674 STURCTURE RPL GRP 1</t>
  </si>
  <si>
    <t>Compliance pole replacements for structures Z12322 &amp; Z12323</t>
  </si>
  <si>
    <t>2022-2988</t>
  </si>
  <si>
    <t>Filed and Under Administrative Review</t>
  </si>
  <si>
    <t>2025-05-02</t>
  </si>
  <si>
    <t xml:space="preserve"> A 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</si>
  <si>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</si>
  <si>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6.2</t>
  </si>
  <si>
    <t>2015-00015-ZZ</t>
  </si>
  <si>
    <t>2020-01-28; 2020;01-29</t>
  </si>
  <si>
    <t>2026-06-18</t>
  </si>
  <si>
    <t>2027-01-18</t>
  </si>
  <si>
    <t xml:space="preserve"> TL6926 Rincon to Valley Center Fire Hardening </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</si>
  <si>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</si>
  <si>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</si>
  <si>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Transmission Line - Multiple</t>
  </si>
  <si>
    <t>Wildfire Mitigation</t>
  </si>
  <si>
    <t>T-Line Reliability</t>
  </si>
  <si>
    <t>2014-00061-ZZ</t>
  </si>
  <si>
    <t>QS00025</t>
  </si>
  <si>
    <t>Advice Letter</t>
  </si>
  <si>
    <t>2019-11-13</t>
  </si>
  <si>
    <t>2020-10-19</t>
  </si>
  <si>
    <t>2013-01-31</t>
  </si>
  <si>
    <t>2022-12-15</t>
  </si>
  <si>
    <t xml:space="preserve">[Reason Change -Service Date] | NA 
 [CPUC Filing Type] Advice Letter/ Project Completed with temporary shoo-fly configuration 
[Reason for Change in In-Service Date] Permitting, design and construction delays. Construction delays, County of Valley Center issuing a stop work order due to dewatering issues.
</t>
  </si>
  <si>
    <t xml:space="preserve">Andy Renger </t>
  </si>
  <si>
    <t xml:space="preserve"> TL649 W2S </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</si>
  <si>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</si>
  <si>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</si>
  <si>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47</t>
  </si>
  <si>
    <t>2017-0120</t>
  </si>
  <si>
    <t>QS00026</t>
  </si>
  <si>
    <t>2015-08-10</t>
  </si>
  <si>
    <t>2019-07-11</t>
  </si>
  <si>
    <t>2020-02-15</t>
  </si>
  <si>
    <t>2020-02-22</t>
  </si>
  <si>
    <t>2020 | 2021 | 2022 | 2024</t>
  </si>
  <si>
    <t xml:space="preserve">
[CPUC Filing Type] Advice Letter/ Project Completed with temporary shoo-fly configuration  
</t>
  </si>
  <si>
    <t>Chris Markham</t>
  </si>
  <si>
    <t xml:space="preserve"> TL686 W2S_Wind </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</si>
  <si>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</si>
  <si>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Transmission Line - Pole/Tower</t>
  </si>
  <si>
    <t>45</t>
  </si>
  <si>
    <t>FALSE | TRUE | TRUE</t>
  </si>
  <si>
    <t>14.6</t>
  </si>
  <si>
    <t>2018-0161</t>
  </si>
  <si>
    <t>QS00027</t>
  </si>
  <si>
    <t xml:space="preserve">BLM </t>
  </si>
  <si>
    <t>2028-04-14</t>
  </si>
  <si>
    <t>2027-08-24</t>
  </si>
  <si>
    <t>2029-10-02</t>
  </si>
  <si>
    <t>Other[See Notes]</t>
  </si>
  <si>
    <t>Permitting</t>
  </si>
  <si>
    <t xml:space="preserve">[CPUC Status] Exempt  
[Reason Change -Service Date] Timing of other work (separate from this project) required for outages during construction </t>
  </si>
  <si>
    <t>Brandon Pate</t>
  </si>
  <si>
    <t xml:space="preserve"> TL676 Reconductor (Mission   Mesa Heights) </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</si>
  <si>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</si>
  <si>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</si>
  <si>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</si>
  <si>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</si>
  <si>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</si>
  <si>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</si>
  <si>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QS00343</t>
  </si>
  <si>
    <t>2010 | 2011</t>
  </si>
  <si>
    <t>2018-06-04</t>
  </si>
  <si>
    <t>2015-06-01</t>
  </si>
  <si>
    <t>2019-06-07</t>
  </si>
  <si>
    <t xml:space="preserve"> A SAN LUIS RAY OVERSTRES</t>
  </si>
  <si>
    <t>Replace breakers based on short circuit study</t>
  </si>
  <si>
    <t>Replace Breakers</t>
  </si>
  <si>
    <t>50; 50; 50; 53; 50; 50; 53; 53; 53; 50; 53; 53; 53; 53</t>
  </si>
  <si>
    <t>230 kV | 69 kV</t>
  </si>
  <si>
    <t>2022-2943</t>
  </si>
  <si>
    <t>QBL0061</t>
  </si>
  <si>
    <t>2025-09-08</t>
  </si>
  <si>
    <t>2026-07-07</t>
  </si>
  <si>
    <t>[Programmatic]  Overstressed Breakers</t>
  </si>
  <si>
    <t>Replace overstressed breakers as identified at the following substations : Bay Boulevard, Mission, Sycamore Canyon,  San Luis Rey, Miguel</t>
  </si>
  <si>
    <t>Wires - Replacement Alternative</t>
  </si>
  <si>
    <t>2020 | 2024 | 2025</t>
  </si>
  <si>
    <t xml:space="preserve"> A MIGUEL OVERSTRESSED BREAKER</t>
  </si>
  <si>
    <t>Miguel - 69kV Overduty CB/DC Motor Retrofit</t>
  </si>
  <si>
    <t>51</t>
  </si>
  <si>
    <t>2021-2498</t>
  </si>
  <si>
    <t>2021-09-01</t>
  </si>
  <si>
    <t>2024-04-17</t>
  </si>
  <si>
    <t>100% | 1921</t>
  </si>
  <si>
    <t xml:space="preserve">[Reason Change -Service Date] | NA 
[Reason for Change in In-Service Date] In-service dates are estimated during preliminary design and permitting stages of a project; date shifted to reflect actual design and construction schedule. </t>
  </si>
  <si>
    <t xml:space="preserve"> A SYCAMORE CYN OVERSTRESSED BKR R</t>
  </si>
  <si>
    <t>Sycamore Canyon Overstressed Breaker Replacement</t>
  </si>
  <si>
    <t>16; 16; 16; 16; 16; 16; 16; 31; 32; 32; 32; 32; 32; 32; 33; 25; 25; 31</t>
  </si>
  <si>
    <t>138 kV | 69 kV</t>
  </si>
  <si>
    <t>2019-1023</t>
  </si>
  <si>
    <t>2022-06-13</t>
  </si>
  <si>
    <t>[Programmatic]  Synchrophasors (PMU/WASA)</t>
  </si>
  <si>
    <t>Replace relays</t>
  </si>
  <si>
    <t>138 kV | 230 kV | 500 kV</t>
  </si>
  <si>
    <t xml:space="preserve">Multiple </t>
  </si>
  <si>
    <t>QBL0062</t>
  </si>
  <si>
    <t>2020 | 2021 | 2023 | 2024 | 2025</t>
  </si>
  <si>
    <t xml:space="preserve"> [CPUC Status] Exempt  
[Age of Asset] Unable to provide age of asset for blanket budget codes
</t>
  </si>
  <si>
    <t xml:space="preserve"> A SYNCHRO VSUBS 2022</t>
  </si>
  <si>
    <t>Escondido, San Diego</t>
  </si>
  <si>
    <t>PMU/WASA deployments at multiple substations</t>
  </si>
  <si>
    <t>2023-04-17</t>
  </si>
  <si>
    <t>2024-10-25</t>
  </si>
  <si>
    <t xml:space="preserve"> [CPUC Status] Exempt 
 [Utility Unique ID #1] 2021-2149 , 2022-3042</t>
  </si>
  <si>
    <t xml:space="preserve"> A TRANS SYNCHROPHASOR VAR SUB</t>
  </si>
  <si>
    <t>2019-03-31</t>
  </si>
  <si>
    <t>[Utility Unique ID #1] 2021-2143 , 2023-3601 , 2021-2051 , 2021-2042 , 2021-2026 , 2022-2933 , 2022-2935 , 2021-2401 , 2021-2130 , 2021-2149 , 2021-2132 , 2021-2134 , 2021-2148 , 2021-2136 , 2023-3594 , 2023-3600 , 2023-3602 , 2018-1009 , 2021-2131 , 2019-2124 , 2023-3595 , 2021-2035</t>
  </si>
  <si>
    <t xml:space="preserve"> A WASA SYNCHROWAVE SOFTWARE APPL</t>
  </si>
  <si>
    <t xml:space="preserve">Continued development of WASA-Synchrowave Central software application.  2024 enhancements includes Linear State Estimating (LSE), Phase Contour, addition of Operations and Admin roles, phase angle reference, and support for end-user configuration.   </t>
  </si>
  <si>
    <t>2024-01-01</t>
  </si>
  <si>
    <t xml:space="preserve"> TL690E – Camp Pendleton – Wood to Steel </t>
  </si>
  <si>
    <t>Camp Pendleton, San Diego</t>
  </si>
  <si>
    <t>Replace approx. 69 wood poles with overhead steel poles and/or underground cabling.  Reconductor approx. 5.5 mi from Stuart Tap to Las Pulgas Substation.</t>
  </si>
  <si>
    <t>58</t>
  </si>
  <si>
    <t>2014-00050-ZZ</t>
  </si>
  <si>
    <t>QS00040</t>
  </si>
  <si>
    <t xml:space="preserve">https://www.caiso.com/planning/Pages/TransmissionPlanning/2013-2014TransmissionPlanningProcess.aspx  </t>
  </si>
  <si>
    <t xml:space="preserve">MCBCP </t>
  </si>
  <si>
    <t>2025-08-27</t>
  </si>
  <si>
    <t>2028-03-16</t>
  </si>
  <si>
    <t>2029-03-21</t>
  </si>
  <si>
    <t xml:space="preserve">[CPUC Status] to be considered exempt </t>
  </si>
  <si>
    <t xml:space="preserve"> TL691   Avocado to Camp Pendleton </t>
  </si>
  <si>
    <t xml:space="preserve">Fallbrook, San Diego | Camp Pendleton North, San Diego </t>
  </si>
  <si>
    <t>This project will replace approx 140 existing wood poles along TL691 within the Fire Threat Zone with new steel poles and associated hardware.</t>
  </si>
  <si>
    <t>49</t>
  </si>
  <si>
    <t>2014-00051-ZZ</t>
  </si>
  <si>
    <t>QS00041</t>
  </si>
  <si>
    <t>2020-12-03</t>
  </si>
  <si>
    <t>2023-04-28</t>
  </si>
  <si>
    <t>2024-02-29</t>
  </si>
  <si>
    <t xml:space="preserve"> TL692 Horno Pulgas (Camp Pend) </t>
  </si>
  <si>
    <t>This project will replace approx 87 existing wood poles along TL692 within the Fire Threat Zone with new steel poles and associated hardware.</t>
  </si>
  <si>
    <t>52</t>
  </si>
  <si>
    <t>2014-00225-ZZ</t>
  </si>
  <si>
    <t>QS00042</t>
  </si>
  <si>
    <t>2021-05-17</t>
  </si>
  <si>
    <t>2021-11-01</t>
  </si>
  <si>
    <t xml:space="preserve"> TL695/6971 Talega Cristianitos Japanese (Camp Pend) </t>
  </si>
  <si>
    <t>San Clemente, Orange</t>
  </si>
  <si>
    <t>Replace approximately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</si>
  <si>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2025-01-12, 2024-02-10</t>
  </si>
  <si>
    <t>54</t>
  </si>
  <si>
    <t>2014-00074-ZZ</t>
  </si>
  <si>
    <t>QS00043</t>
  </si>
  <si>
    <t xml:space="preserve">https://www.caiso.com/planning/Pages/TransmissionPlanning/2011-2012TransmissionPlanningProcess.aspx  </t>
  </si>
  <si>
    <t>CEQA Draft Published</t>
  </si>
  <si>
    <t>2016-04-25</t>
  </si>
  <si>
    <t>2026-04-21</t>
  </si>
  <si>
    <t>2028-01-26</t>
  </si>
  <si>
    <t xml:space="preserve"> TL6912   San Luis Rey to Camp Pendleton </t>
  </si>
  <si>
    <t>Oceanside, San Diego | Camp Pendleton North, San Diego</t>
  </si>
  <si>
    <t>This project will replace approx 78 existing wood poles along TL6912 within the Fire Threat Zone with new steel poles and associated hardware.</t>
  </si>
  <si>
    <t>63</t>
  </si>
  <si>
    <t>2014-00073-ZZ</t>
  </si>
  <si>
    <t>QS00045</t>
  </si>
  <si>
    <t>2020-09-04</t>
  </si>
  <si>
    <t>2020 | 2021 | 2022 | 2023</t>
  </si>
  <si>
    <t>Shatha Altawarah</t>
  </si>
  <si>
    <t xml:space="preserve"> TL663 Reconductor (Mission   Kearny) </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</si>
  <si>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</si>
  <si>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</si>
  <si>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</si>
  <si>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28;60;38</t>
  </si>
  <si>
    <t>2011-00018-ZZ</t>
  </si>
  <si>
    <t>QS00049</t>
  </si>
  <si>
    <t>2017-05-31</t>
  </si>
  <si>
    <t>2017-12-13</t>
  </si>
  <si>
    <t>2020-02-26</t>
  </si>
  <si>
    <t>Bundling Dependencies</t>
  </si>
  <si>
    <t>Vinh Huynh</t>
  </si>
  <si>
    <t xml:space="preserve"> TL644 Reconductor (Bay Blvd   Sweetwater) </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</si>
  <si>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</si>
  <si>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</si>
  <si>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25;25</t>
  </si>
  <si>
    <t>2011-00021-ZZ</t>
  </si>
  <si>
    <t>QS00054</t>
  </si>
  <si>
    <t>2021-12-06</t>
  </si>
  <si>
    <t>2013-06-01</t>
  </si>
  <si>
    <t>2022-05-15</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</si>
  <si>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</si>
  <si>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</si>
  <si>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</si>
  <si>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Input Error</t>
  </si>
  <si>
    <t>2020 | 2022 | 2023</t>
  </si>
  <si>
    <t xml:space="preserve"> A AFL VARIOUS SUB</t>
  </si>
  <si>
    <t>Automated Fault Location (TEAM) deployments at multiple substations.</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</si>
  <si>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</si>
  <si>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</si>
  <si>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</si>
  <si>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</si>
  <si>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QBL0064</t>
  </si>
  <si>
    <t>2021 | 2022 | 2023 | 2024 | 2025</t>
  </si>
  <si>
    <t xml:space="preserve"> A T SCADA: TRABUCO RTU</t>
  </si>
  <si>
    <t>Laguna Niguel, Orange</t>
  </si>
  <si>
    <t>Trabuco substation Transmission RTU upgrades</t>
  </si>
  <si>
    <t>2023-3393</t>
  </si>
  <si>
    <t>2025-07-28</t>
  </si>
  <si>
    <t>2023-12-30</t>
  </si>
  <si>
    <t>2026-01-07</t>
  </si>
  <si>
    <t xml:space="preserve"> A RANCHO CARMEL T SCADA</t>
  </si>
  <si>
    <t>Rancho Carmel substation Transmission  SCADA upgrades.</t>
  </si>
  <si>
    <t>5.52</t>
  </si>
  <si>
    <t>2023-3392</t>
  </si>
  <si>
    <t>2026-06-10</t>
  </si>
  <si>
    <t xml:space="preserve"> A TRANSMISSION SCADA TL23014_015</t>
  </si>
  <si>
    <t>Replace (2) GE L-90 relays with latest SDG&amp;E standard, (2) SEL-411L at ES (TL23014/15)</t>
  </si>
  <si>
    <t>2021-2013</t>
  </si>
  <si>
    <t>2024-11-08</t>
  </si>
  <si>
    <t xml:space="preserve"> A OT RELIABILITY ENHANCEMENT</t>
  </si>
  <si>
    <t>Replace relay panels for 230kV busses, install new power quality meters.</t>
  </si>
  <si>
    <t>230</t>
  </si>
  <si>
    <t>2022-3075</t>
  </si>
  <si>
    <t>Construction (25%-50%)</t>
  </si>
  <si>
    <t>2024-11-15</t>
  </si>
  <si>
    <t>2025-07-10</t>
  </si>
  <si>
    <t>Juan Ayala</t>
  </si>
  <si>
    <t xml:space="preserve"> TL639 Wood to Steel Replacement </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</si>
  <si>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</si>
  <si>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</si>
  <si>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41</t>
  </si>
  <si>
    <t>2012-00005-ZZ</t>
  </si>
  <si>
    <t>QS00066</t>
  </si>
  <si>
    <t>2022-10-31</t>
  </si>
  <si>
    <t>2024-01-31</t>
  </si>
  <si>
    <t>2023-10-07</t>
  </si>
  <si>
    <t>Emeterio Hernandez</t>
  </si>
  <si>
    <t xml:space="preserve"> TL6916 Wood to Steel Replacement </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</si>
  <si>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</si>
  <si>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</si>
  <si>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QS00067</t>
  </si>
  <si>
    <t>2022-03-07</t>
  </si>
  <si>
    <t>2022-07-01</t>
  </si>
  <si>
    <t>2022-07-11</t>
  </si>
  <si>
    <t xml:space="preserve"> TL615 TL659 Direct Buried Cable Replacement (Cabrillo   Point Loma) </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</si>
  <si>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</si>
  <si>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</si>
  <si>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2012-00011-ZZ</t>
  </si>
  <si>
    <t>QS00068</t>
  </si>
  <si>
    <t>2024-12-13</t>
  </si>
  <si>
    <t>2024-10-30</t>
  </si>
  <si>
    <t>2026-12-31</t>
  </si>
  <si>
    <t>2026-06-30</t>
  </si>
  <si>
    <t>Land Rights</t>
  </si>
  <si>
    <t xml:space="preserve"> TL633 Reconductor (Bernardo   Rancho Carmel) </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</si>
  <si>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</si>
  <si>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</si>
  <si>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</si>
  <si>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QS00069</t>
  </si>
  <si>
    <t>2011 | 2012</t>
  </si>
  <si>
    <t>2018-07-09</t>
  </si>
  <si>
    <t>2019-11-07</t>
  </si>
  <si>
    <t>Jaser Marabeh</t>
  </si>
  <si>
    <t xml:space="preserve"> Merchant Switchyard &amp; Merchant Eldorado Transmission </t>
  </si>
  <si>
    <t>New T-Line</t>
  </si>
  <si>
    <t>MHT - 3/1/2025</t>
  </si>
  <si>
    <t>QS00070</t>
  </si>
  <si>
    <t xml:space="preserve"> TL636 Wood to Steel Replacement </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</si>
  <si>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</si>
  <si>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</si>
  <si>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QS00071</t>
  </si>
  <si>
    <t>2022-03-18</t>
  </si>
  <si>
    <t>2022-10-17</t>
  </si>
  <si>
    <t>Myles Still</t>
  </si>
  <si>
    <t xml:space="preserve"> TL694 Wood to Steel Replacement </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</si>
  <si>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</si>
  <si>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</si>
  <si>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60</t>
  </si>
  <si>
    <t>FALSE | TRUE | FALSE</t>
  </si>
  <si>
    <t>2012-00014-ZZ</t>
  </si>
  <si>
    <t>QS00073</t>
  </si>
  <si>
    <t>2026-12-18</t>
  </si>
  <si>
    <t xml:space="preserve"> TL13831 Wood to Steel Replacement (Talega   Racho Mission Viejo) </t>
  </si>
  <si>
    <t>Orange County</t>
  </si>
  <si>
    <t>The purpose of project is to replace approximately 72 wood poles for steel equivalent from Rancho Mission Viejo to Talega Substation for fire hardening. The project spans approximately 6.46 miles.</t>
  </si>
  <si>
    <t>Priority 1 Wood Structure Replacement</t>
  </si>
  <si>
    <t>28</t>
  </si>
  <si>
    <t>2012-00019-ZZ</t>
  </si>
  <si>
    <t>QS00074</t>
  </si>
  <si>
    <t>2022-08-15</t>
  </si>
  <si>
    <t>2023-04-23</t>
  </si>
  <si>
    <t xml:space="preserve"> TL13838 Wood to Steel Replacement (Magarita   Rancho Mission Viejo) </t>
  </si>
  <si>
    <t>This project replaces nine poles with steel, approximately 1.4 miles of 1033.5ACSR/AW, insulators and hardware.</t>
  </si>
  <si>
    <t>28;28;28;7;28;28;28;10;1</t>
  </si>
  <si>
    <t>2012-00020-ZZ</t>
  </si>
  <si>
    <t>QS00075</t>
  </si>
  <si>
    <t>2021-09-24</t>
  </si>
  <si>
    <t>2022-01-17</t>
  </si>
  <si>
    <t>Steven Hundley</t>
  </si>
  <si>
    <t xml:space="preserve"> TL600 Reliability Pole Replacements </t>
  </si>
  <si>
    <t>This project replaces an existing 13 (between Phases 1, 2, and 3) transmission structures on TL600.</t>
  </si>
  <si>
    <t>2012-00023-ZZ</t>
  </si>
  <si>
    <t>QS00077</t>
  </si>
  <si>
    <t>2013-02-01</t>
  </si>
  <si>
    <t>2021-04-30</t>
  </si>
  <si>
    <t>2022-08-29</t>
  </si>
  <si>
    <t>Vendor Quality/Delays</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</si>
  <si>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</si>
  <si>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</si>
  <si>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</si>
  <si>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 xml:space="preserve"> A ALM TL631 FAA MARKER BAL R2</t>
  </si>
  <si>
    <t xml:space="preserve">Aerial Lighting and Marking Project to meet FAA Regulations on TL631 </t>
  </si>
  <si>
    <t>ALM-SW</t>
  </si>
  <si>
    <t>2018-07-30; 2018-05-29; 2012-12-12</t>
  </si>
  <si>
    <t>Todd Voorhees</t>
  </si>
  <si>
    <t xml:space="preserve"> TL674A  Loop in Del Mar </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</si>
  <si>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</si>
  <si>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</si>
  <si>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Relocate</t>
  </si>
  <si>
    <t>Environmental</t>
  </si>
  <si>
    <t>2013-00010-ZZ</t>
  </si>
  <si>
    <t>QS00082</t>
  </si>
  <si>
    <t xml:space="preserve">https://www.caiso.com/planning/Pages/TransmissionPlanning/2012-2013TransmissionPlanningProcess.aspx  </t>
  </si>
  <si>
    <t>2017-06-28</t>
  </si>
  <si>
    <t>2020-12-30</t>
  </si>
  <si>
    <t>2023-12-15</t>
  </si>
  <si>
    <t>2020 | 2022 | 2023 | 2024 | 2025</t>
  </si>
  <si>
    <t xml:space="preserve">[Reason for Change in In-Service Date] In-service dates are estimated during preliminary design and permitting stages of a project; date shifted to reflect actual design and construction schedule. 
</t>
  </si>
  <si>
    <t xml:space="preserve"> CBM Gas Breakers </t>
  </si>
  <si>
    <t xml:space="preserve">This project is a continuing effort to sustain GCB SF6 Tracking and implement Condition Based Maintenance by installing monitors on approximately 900 Gas Circuit Breakers (GCBs). </t>
  </si>
  <si>
    <t>QS00086</t>
  </si>
  <si>
    <t>A CBM GCB MONITORING-IMPERIAL VLY</t>
  </si>
  <si>
    <t>El Centro, Imperial County</t>
  </si>
  <si>
    <t xml:space="preserve">This project is a continuing effort to sustain GCB SF6 Tracking and implement Condition Based Maintenance by installing monitors on Gas Circuit Breakers (GCBs). </t>
  </si>
  <si>
    <t>[Reason Change -Service Date] | NA 
[Reason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</si>
  <si>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 xml:space="preserve"> A CBM GCB MONITORING-PENASQUITOS</t>
  </si>
  <si>
    <t>230 | 138 | 69</t>
  </si>
  <si>
    <t>2020-01-31</t>
  </si>
  <si>
    <t>2022-07-25</t>
  </si>
  <si>
    <t>A CBM GCB VARIOUS SUBS</t>
  </si>
  <si>
    <t>Canceled</t>
  </si>
  <si>
    <t xml:space="preserve"> A CBM GCB MONITORING SUNCREST</t>
  </si>
  <si>
    <t>Tier 3</t>
  </si>
  <si>
    <t xml:space="preserve">500kV | 230kV </t>
  </si>
  <si>
    <t>False</t>
  </si>
  <si>
    <t xml:space="preserve"> A CBM GCB MONITORING SAN LUIS REY</t>
  </si>
  <si>
    <t xml:space="preserve">69kV | 230kV </t>
  </si>
  <si>
    <t xml:space="preserve"> Kearny Rebuild </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</si>
  <si>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</si>
  <si>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21; 60; 55; 60; 56; 55; 56; 41; 56; 21; 21; 16</t>
  </si>
  <si>
    <t>120MVA</t>
  </si>
  <si>
    <t>2014-00210-ZZ</t>
  </si>
  <si>
    <t>QS00087</t>
  </si>
  <si>
    <t>2017-11-06</t>
  </si>
  <si>
    <t>2019-06-27</t>
  </si>
  <si>
    <t>2020-01-10</t>
  </si>
  <si>
    <t xml:space="preserve"> Streamview </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</si>
  <si>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</si>
  <si>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</si>
  <si>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</si>
  <si>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</si>
  <si>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QS00089</t>
  </si>
  <si>
    <t>Construction (10%-25%)</t>
  </si>
  <si>
    <t>2020-03-11</t>
  </si>
  <si>
    <t>2027-05-31</t>
  </si>
  <si>
    <t>2027-08-31</t>
  </si>
  <si>
    <t>[CPUC Status] Exempt</t>
  </si>
  <si>
    <t xml:space="preserve"> Suncrest SVC Interconnection </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</si>
  <si>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</si>
  <si>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</si>
  <si>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</si>
  <si>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</si>
  <si>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</si>
  <si>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</si>
  <si>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2021-2075</t>
  </si>
  <si>
    <t>QS00098</t>
  </si>
  <si>
    <t>2019-07-12</t>
  </si>
  <si>
    <t>2019-05-28</t>
  </si>
  <si>
    <t>2017-06-01</t>
  </si>
  <si>
    <t>2020-02-25</t>
  </si>
  <si>
    <t>2020 | 2021 | 2024</t>
  </si>
  <si>
    <t xml:space="preserve"> Artesian 230kV Sub Expansion </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</si>
  <si>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</si>
  <si>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</si>
  <si>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</si>
  <si>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</si>
  <si>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</si>
  <si>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QS00099</t>
  </si>
  <si>
    <t>2019-10-07</t>
  </si>
  <si>
    <t>2020-04-17</t>
  </si>
  <si>
    <t>2016-06-01</t>
  </si>
  <si>
    <t>2022-12-04</t>
  </si>
  <si>
    <t>Melinda Keesee</t>
  </si>
  <si>
    <t xml:space="preserve"> TL6975  Escondido   San Marcos </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</si>
  <si>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</si>
  <si>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</si>
  <si>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Wires - New T-Line Alternative</t>
  </si>
  <si>
    <t>2014-00078-ZZ</t>
  </si>
  <si>
    <t>QS00101</t>
  </si>
  <si>
    <t>Expected PEA Completion</t>
  </si>
  <si>
    <t>2021-10-19</t>
  </si>
  <si>
    <t>2023-02-28</t>
  </si>
  <si>
    <t xml:space="preserve"> A 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</si>
  <si>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</si>
  <si>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</si>
  <si>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QS00103</t>
  </si>
  <si>
    <t>2023-11-01</t>
  </si>
  <si>
    <t>2024-08-23</t>
  </si>
  <si>
    <t xml:space="preserve"> Poway 69kV Substation Rebuild </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</si>
  <si>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</si>
  <si>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</si>
  <si>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24; 31; 47; 31; 48; 50</t>
  </si>
  <si>
    <t>Wires - Minimum Required Scope (spot repair) Alternative</t>
  </si>
  <si>
    <t>2017-0095</t>
  </si>
  <si>
    <t>QS00104</t>
  </si>
  <si>
    <t>2015-10-26</t>
  </si>
  <si>
    <t>2023-03-31</t>
  </si>
  <si>
    <t>2018-11-06</t>
  </si>
  <si>
    <t>Jake ODell</t>
  </si>
  <si>
    <t xml:space="preserve"> HATS Legacy Work Order </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</si>
  <si>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</si>
  <si>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</si>
  <si>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44</t>
  </si>
  <si>
    <t xml:space="preserve">HFTD Tier 3 | Zone 1 </t>
  </si>
  <si>
    <t>230 |500</t>
  </si>
  <si>
    <t>2014-00060-ZZ</t>
  </si>
  <si>
    <t>QS00105</t>
  </si>
  <si>
    <t>2019-06-24</t>
  </si>
  <si>
    <t>2021-12-31</t>
  </si>
  <si>
    <t>2020-12-28</t>
  </si>
  <si>
    <t xml:space="preserve">[See Notes for NERC Compliance and contingency code, WECC Requirement (and the specific requirement)] 
[Primary Purpose] Remote access landing pads for transmission structures
</t>
  </si>
  <si>
    <t>[Programmatic] CAST Security Upgrades</t>
  </si>
  <si>
    <t>CAST is an ongoing program that addresses security for critical substation assets.</t>
  </si>
  <si>
    <t>Physical Security</t>
  </si>
  <si>
    <t>Security Upgrades</t>
  </si>
  <si>
    <t>230kV |500kV</t>
  </si>
  <si>
    <t>QBL0020</t>
  </si>
  <si>
    <t xml:space="preserve">[NERC / WECC / CAISO Standard / Requirement / Contingency 2 ] NERC CIP Compliance and Security Assessments
</t>
  </si>
  <si>
    <t xml:space="preserve"> A CAST PENASQUITOS (PQ)</t>
  </si>
  <si>
    <t>Physical security hardening</t>
  </si>
  <si>
    <t>Other - Physical Security</t>
  </si>
  <si>
    <t>231 |500</t>
  </si>
  <si>
    <t>2023-3286</t>
  </si>
  <si>
    <t>2023-05-30</t>
  </si>
  <si>
    <t>2024-08-14</t>
  </si>
  <si>
    <t xml:space="preserve">[NERC / WECC / CAISO Standard / Requirement / Contingency 2 ] NERC CIP Compliance and Security Assessments
[Age of Asset] Unable to provide age of asset for Programmatic budget codes
</t>
  </si>
  <si>
    <t xml:space="preserve"> A CAST EAST CO SUB PERIMETER</t>
  </si>
  <si>
    <t>232 |500</t>
  </si>
  <si>
    <t>2021-2561</t>
  </si>
  <si>
    <t>2021-08-20</t>
  </si>
  <si>
    <t>2022-11-22</t>
  </si>
  <si>
    <t xml:space="preserve">[NERC / WECC / CAISO Standard / Requirement / Contingency 2 ] NERC CIP Compliance and Security Assessments
</t>
  </si>
  <si>
    <t xml:space="preserve"> A CAST SYCAMORE CANYON</t>
  </si>
  <si>
    <t>233 |500</t>
  </si>
  <si>
    <t>2023-3284</t>
  </si>
  <si>
    <t>2023-09-15</t>
  </si>
  <si>
    <t>2024-07-01</t>
  </si>
  <si>
    <t xml:space="preserve">[NERC / WECC / CAISO Standard / Requirement / Contingency 2 ] NERC CIP Compliance and Security Assessments
</t>
  </si>
  <si>
    <t xml:space="preserve"> A CAST MISSION FRONT ENTRANCE</t>
  </si>
  <si>
    <t>236 |500</t>
  </si>
  <si>
    <t>2022-2976</t>
  </si>
  <si>
    <t>2022-08-22</t>
  </si>
  <si>
    <t>2024-08-26</t>
  </si>
  <si>
    <t xml:space="preserve"> A CAST GUARD SHELTER REBUILD</t>
  </si>
  <si>
    <t>237 |500</t>
  </si>
  <si>
    <t>2023-3287</t>
  </si>
  <si>
    <t xml:space="preserve">[Last Inspection] The project replaced guard shelters.
[NERC / WECC / CAISO Standard / Requirement / Contingency 2] NERC CIP Compliance and Security Assessment
[Age of Asset] Fence upgrade.  No asset IDs. 
</t>
  </si>
  <si>
    <t xml:space="preserve"> A CAST IMPERIAL VLLY SUBS PERIMET</t>
  </si>
  <si>
    <t xml:space="preserve">Imperial County </t>
  </si>
  <si>
    <t>255 |500</t>
  </si>
  <si>
    <t>2021-2097</t>
  </si>
  <si>
    <t>2022-01-18</t>
  </si>
  <si>
    <t xml:space="preserve">[NERC / WECC / CAISO Standard / Requirement / Contingency 2 ]  TECO/Closed WO replaced by project WO above
</t>
  </si>
  <si>
    <t xml:space="preserve"> A CAST OCOTILLO</t>
  </si>
  <si>
    <t>240 |500</t>
  </si>
  <si>
    <t>2022-2977</t>
  </si>
  <si>
    <t>2023-10-09</t>
  </si>
  <si>
    <t xml:space="preserve">[NERC / WECC / CAISO Standard / Requirement / Contingency 2] NERC CIP Compliance and Security Assessments
</t>
  </si>
  <si>
    <t xml:space="preserve"> A CAST SUNCREST SUB PERIMETER</t>
  </si>
  <si>
    <t>241 |500</t>
  </si>
  <si>
    <t>2022-2929</t>
  </si>
  <si>
    <t>2022-05-31</t>
  </si>
  <si>
    <t>2023-09-18</t>
  </si>
  <si>
    <t xml:space="preserve">[NERC / WECC / CAISO Standard / Requirement / Contingency 2 ] NERC CIP Compliance and Security Assessments
</t>
  </si>
  <si>
    <t xml:space="preserve"> A MIGUEL 500KV PHYSICAL SECURITY</t>
  </si>
  <si>
    <t>2014-00595-ZZ</t>
  </si>
  <si>
    <t>2018-09-24</t>
  </si>
  <si>
    <t>2019-04-01</t>
  </si>
  <si>
    <t>2020-06-30</t>
  </si>
  <si>
    <t xml:space="preserve"> A CAST SECURITY VARIOUS SUBS</t>
  </si>
  <si>
    <t xml:space="preserve"> A CAST TALEGA</t>
  </si>
  <si>
    <t>San Clemente, San Diego</t>
  </si>
  <si>
    <t>234 |500</t>
  </si>
  <si>
    <t>2024-3902</t>
  </si>
  <si>
    <t>2025-02-10</t>
  </si>
  <si>
    <t xml:space="preserve"> 2025-03-31</t>
  </si>
  <si>
    <t>2025-11-03</t>
  </si>
  <si>
    <t xml:space="preserve"> A CAST OTAY MESA</t>
  </si>
  <si>
    <t>Otay Mesa, San Diego</t>
  </si>
  <si>
    <t>239 |500</t>
  </si>
  <si>
    <t>2024-3903</t>
  </si>
  <si>
    <t>2024-07-30</t>
  </si>
  <si>
    <t>2024-12-24</t>
  </si>
  <si>
    <t xml:space="preserve"> A CAST SAN LUIS REY</t>
  </si>
  <si>
    <t>235 |500</t>
  </si>
  <si>
    <t>2024-3904</t>
  </si>
  <si>
    <t>Construction (under 10%)</t>
  </si>
  <si>
    <t>2026-01-31</t>
  </si>
  <si>
    <t xml:space="preserve"> Rancho Santa Fe Substation Fire Hardening </t>
  </si>
  <si>
    <t>Rancho Santa Fe, San Diego</t>
  </si>
  <si>
    <t xml:space="preserve">Replace approximately one (1) mile of direct-buried cable along Old Seaworld Drive to a new 69kV duct package infrastructure relocated onto Sea World Drive. </t>
  </si>
  <si>
    <t>65; 70; 62</t>
  </si>
  <si>
    <t>2014-00289-ZZ</t>
  </si>
  <si>
    <t>QS00123</t>
  </si>
  <si>
    <t>2017-07-10</t>
  </si>
  <si>
    <t>2020-11-18</t>
  </si>
  <si>
    <t xml:space="preserve"> Mid Coast Trolley   Electric </t>
  </si>
  <si>
    <t>Mid-Coast: As part of SANDAGs Mid Coast Trolley Extension Project, SDG&amp;E will be relocating multiple electric and gas services from the Santa Fe Depot in downtown San Diego to the University City community.</t>
  </si>
  <si>
    <t>Facility Relocation</t>
  </si>
  <si>
    <t>2025-02-15; 2025-2-11; 2025-02-15</t>
  </si>
  <si>
    <t>2015-00016</t>
  </si>
  <si>
    <t>QS00125</t>
  </si>
  <si>
    <t>2016-10-03</t>
  </si>
  <si>
    <t>2022-02-03</t>
  </si>
  <si>
    <t>2022-08-17</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</si>
  <si>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</si>
  <si>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</si>
  <si>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</si>
  <si>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QBL0071</t>
  </si>
  <si>
    <t xml:space="preserve"> A APP WMP: BORDER SUBSTATION</t>
  </si>
  <si>
    <t>Replace existing oil circuit breakers with vacuum, upgrade RTU and associated relay equipment.</t>
  </si>
  <si>
    <t>2021-2054</t>
  </si>
  <si>
    <t>2022-05-18</t>
  </si>
  <si>
    <t>2024-04-23</t>
  </si>
  <si>
    <t xml:space="preserve">[CPUC Status] Exempt 
[Age of Asset] Project completed, age of previous asset(s) unknown.
</t>
  </si>
  <si>
    <t xml:space="preserve"> A APP WMP: PALA SUBSTATION</t>
  </si>
  <si>
    <t>Replace existing relays and RTU, other supporting equipment.</t>
  </si>
  <si>
    <t>2021-2316</t>
  </si>
  <si>
    <t>2023-05-08</t>
  </si>
  <si>
    <t>2025-06-17</t>
  </si>
  <si>
    <t>Workforce</t>
  </si>
  <si>
    <t xml:space="preserve"> A CAMERON ADD 69KV BUS TIE</t>
  </si>
  <si>
    <t>Add 69kV bus tie circuit breaker, conductor and associated equipment.</t>
  </si>
  <si>
    <t>Bus Upgrade</t>
  </si>
  <si>
    <t>2014-01075-ZZ</t>
  </si>
  <si>
    <t>2020-12-07</t>
  </si>
  <si>
    <t xml:space="preserve">[CPUC Status] Exempt 
[Age of Asset] New asset installed, no previous asset 
</t>
  </si>
  <si>
    <t xml:space="preserve"> A SANTA YSABEL 69KV REBUILD</t>
  </si>
  <si>
    <t>Replace existing 69kV bus, circuit breaker, and control shelter.</t>
  </si>
  <si>
    <t>53</t>
  </si>
  <si>
    <t>2019-0222</t>
  </si>
  <si>
    <t>2019-05-17; 2018-03-14</t>
  </si>
  <si>
    <t>2020-08-31</t>
  </si>
  <si>
    <t>2019-06-01</t>
  </si>
  <si>
    <t>2023-03-23</t>
  </si>
  <si>
    <t xml:space="preserve"> A WMP APP DESCANSO BK30 &amp; YARD</t>
  </si>
  <si>
    <t>Replace bank xfmr, extend yard for access.</t>
  </si>
  <si>
    <t>Replace Transformer</t>
  </si>
  <si>
    <t>43</t>
  </si>
  <si>
    <t>2021-2202</t>
  </si>
  <si>
    <t>2022-08-01</t>
  </si>
  <si>
    <t>2023-11-18</t>
  </si>
  <si>
    <t xml:space="preserve"> A DESCANSO UPGRADE TL626 RELAYING</t>
  </si>
  <si>
    <t>Replace 69/12kV circuit breakers in support of FCP.</t>
  </si>
  <si>
    <t>2.2</t>
  </si>
  <si>
    <t>2014-00432-ZZ-SUB</t>
  </si>
  <si>
    <t>2016-11-07</t>
  </si>
  <si>
    <t>2017-12-01</t>
  </si>
  <si>
    <t>2021-06-30</t>
  </si>
  <si>
    <t>2022 | 2023</t>
  </si>
  <si>
    <t xml:space="preserve"> A WARNERS UPGRADE TRANS RELAYING</t>
  </si>
  <si>
    <t>2014-00278-ZZ-SUB</t>
  </si>
  <si>
    <t>2016-11-08</t>
  </si>
  <si>
    <t>2021-12-17</t>
  </si>
  <si>
    <t>2021 | 2023 | 2024</t>
  </si>
  <si>
    <t xml:space="preserve"> A APPWMP: POMERADO SUBSTATION</t>
  </si>
  <si>
    <t>Poway, San Diego County</t>
  </si>
  <si>
    <t>RTU and Relay Replacement</t>
  </si>
  <si>
    <t>18 - 32;26</t>
  </si>
  <si>
    <t>2021-2178</t>
  </si>
  <si>
    <t>2023-12-11</t>
  </si>
  <si>
    <t>2022-07-31</t>
  </si>
  <si>
    <t>2024-08-02</t>
  </si>
  <si>
    <t xml:space="preserve"> A STUART SUBSTATION APP/DCRU</t>
  </si>
  <si>
    <t>Breaker and RTU Replacement</t>
  </si>
  <si>
    <t xml:space="preserve">62;11 </t>
  </si>
  <si>
    <t>2021-2177</t>
  </si>
  <si>
    <t>2022-10-25</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</si>
  <si>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</si>
  <si>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</si>
  <si>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</si>
  <si>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 xml:space="preserve"> A NON CAST SECURITY VARIOUS SUBS</t>
  </si>
  <si>
    <t>Security Upgrade and Fence project</t>
  </si>
  <si>
    <t xml:space="preserve">[Age of Asset] Substation Security upgrades.  No assets.
</t>
  </si>
  <si>
    <t xml:space="preserve"> A ELLIOT SUB FENCE GATE BROW DITC</t>
  </si>
  <si>
    <t>Elliot Sub fence, gate, and brow ditch rebuild.</t>
  </si>
  <si>
    <t>2022-2767</t>
  </si>
  <si>
    <t>2022-12-13</t>
  </si>
  <si>
    <t xml:space="preserve"> A STATION F NON CAST SECURITY</t>
  </si>
  <si>
    <t>Install new security system.</t>
  </si>
  <si>
    <t>69 | 12</t>
  </si>
  <si>
    <t>2023-3526</t>
  </si>
  <si>
    <t>2023-06-30</t>
  </si>
  <si>
    <t>2025-04-07</t>
  </si>
  <si>
    <t>100% | 1454</t>
  </si>
  <si>
    <t xml:space="preserve">
[Age of Asset] Substation Security upgrades.  No assets.</t>
  </si>
  <si>
    <t>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</si>
  <si>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</si>
  <si>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</si>
  <si>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</si>
  <si>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2022-12-08</t>
  </si>
  <si>
    <t xml:space="preserve">[Age of Asset] Substation Security upgrades.  No assets.
[Reason for Change in In-Service Date] In-service dates are estimated during preliminary design and permitting stages of a project; date shifted to reflect actual design and construction schedule. </t>
  </si>
  <si>
    <t xml:space="preserve"> A 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</si>
  <si>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</si>
  <si>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</si>
  <si>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</si>
  <si>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2021-07-22; 2021-05-20</t>
  </si>
  <si>
    <t>2021-10-25</t>
  </si>
  <si>
    <t>2024-03-06</t>
  </si>
  <si>
    <t xml:space="preserve">
[Age of Asset] Substation Security upgrades.  No assets.
</t>
  </si>
  <si>
    <t xml:space="preserve"> A SUBSTATION SECURITY VARIOUS SUB</t>
  </si>
  <si>
    <t>Blanket WO for preliminary security upgrades at various substations</t>
  </si>
  <si>
    <t xml:space="preserve">[Project Description - Action Taken] This project has various substations. 
</t>
  </si>
  <si>
    <t xml:space="preserve"> A VALLEY CENTER NON CAST SECURITY</t>
  </si>
  <si>
    <t>New Security System Installation</t>
  </si>
  <si>
    <t>1.23</t>
  </si>
  <si>
    <t>69 | 12kV</t>
  </si>
  <si>
    <t>69/12kV</t>
  </si>
  <si>
    <t>2023-10-03</t>
  </si>
  <si>
    <t>2025-03-27</t>
  </si>
  <si>
    <t>2025-03-28</t>
  </si>
  <si>
    <t xml:space="preserve">NA | NA </t>
  </si>
  <si>
    <t>100% | $1,425,000</t>
  </si>
  <si>
    <t xml:space="preserve"> A CHOLLAS WEST NON CAST SECURITY</t>
  </si>
  <si>
    <t>Lemon Grove</t>
  </si>
  <si>
    <t>Security Systems Installation</t>
  </si>
  <si>
    <t>1.455</t>
  </si>
  <si>
    <t>2023-3525</t>
  </si>
  <si>
    <t>2024-05-03</t>
  </si>
  <si>
    <t>2025-12-13</t>
  </si>
  <si>
    <t>100% | $1,406,000</t>
  </si>
  <si>
    <t xml:space="preserve"> A ENCINA SEURITY/FENCING</t>
  </si>
  <si>
    <t>Encina, San Diego</t>
  </si>
  <si>
    <t>New Fencing/Life Cycle Upgrade</t>
  </si>
  <si>
    <t>4.86</t>
  </si>
  <si>
    <t>2024-3884</t>
  </si>
  <si>
    <t>2024-04-22</t>
  </si>
  <si>
    <t>2024-10-10</t>
  </si>
  <si>
    <t>100% | $1,467,000</t>
  </si>
  <si>
    <t xml:space="preserve"> A ROSE CANYON NON CAST SECURITY</t>
  </si>
  <si>
    <t>Non-Cast Security System Life Cycle Upgrade</t>
  </si>
  <si>
    <t>1.32</t>
  </si>
  <si>
    <t>2023-3520</t>
  </si>
  <si>
    <t>2024-11-27</t>
  </si>
  <si>
    <t>100% | $1,513,000</t>
  </si>
  <si>
    <t xml:space="preserve"> A TORREY PINES NON CAST</t>
  </si>
  <si>
    <t>Non Cast New Security System</t>
  </si>
  <si>
    <t>.811</t>
  </si>
  <si>
    <t>2021-2380</t>
  </si>
  <si>
    <t>2027-03-10</t>
  </si>
  <si>
    <t>100% | $1,534,000</t>
  </si>
  <si>
    <t xml:space="preserve"> A CRESTWOOD NON CAST SECURITY</t>
  </si>
  <si>
    <t>NON-CAST New Security System</t>
  </si>
  <si>
    <t>.687</t>
  </si>
  <si>
    <t>2023-3524</t>
  </si>
  <si>
    <t>2023-10-19</t>
  </si>
  <si>
    <t>2025-06-23</t>
  </si>
  <si>
    <t>2025-06-20</t>
  </si>
  <si>
    <t>100% | $1,474,000</t>
  </si>
  <si>
    <t xml:space="preserve"> Substation Auxilliary Power System (GenCell) </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</si>
  <si>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</si>
  <si>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</si>
  <si>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2025-03-20 , 2025-03-19, 2025-04-23</t>
  </si>
  <si>
    <t>138kV</t>
  </si>
  <si>
    <t>2018-4 / 2018-1004 / 2018-3</t>
  </si>
  <si>
    <t>QS00137</t>
  </si>
  <si>
    <t>2019-06-20</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</si>
  <si>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</si>
  <si>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</si>
  <si>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</si>
  <si>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 xml:space="preserve"> A DCRU: VARIOUS SUBS 2022</t>
  </si>
  <si>
    <t>DC Reliability Upgrades at multiple substations</t>
  </si>
  <si>
    <t xml:space="preserve">[CPUC Status] Exempt  
[Utility Unique ID #1(Less Specific)] 2021-2315 , 2022-2975 , 2022-2766 , 2021-2457 , 2021-2010 , 2024-3883 , 2022-3046 , 2022-2956 , 2022-2948 , 2022-2930 , 2014-00575-ZZ , 2022-3047
</t>
  </si>
  <si>
    <t xml:space="preserve"> A VARIOUS SUB DC REL UPGR  TCRI</t>
  </si>
  <si>
    <t>2018-12-31</t>
  </si>
  <si>
    <t xml:space="preserve"> A VARIOUS SUBS DC REL UPGR  2020</t>
  </si>
  <si>
    <t>2021-2057</t>
  </si>
  <si>
    <t>2021-05-10</t>
  </si>
  <si>
    <t>2021-11-09</t>
  </si>
  <si>
    <t xml:space="preserve"> A ENCINA SUBSTATION TCRI</t>
  </si>
  <si>
    <t>Carlsbad, San Diego</t>
  </si>
  <si>
    <t>Encina substation DC reliability upgrades</t>
  </si>
  <si>
    <t>138 | 69</t>
  </si>
  <si>
    <t>2014-00548-ZZ</t>
  </si>
  <si>
    <t>2019-09-16</t>
  </si>
  <si>
    <t>2020-01-01</t>
  </si>
  <si>
    <t xml:space="preserve"> A DCRU PHASE IV   IMPERIAL BEACH</t>
  </si>
  <si>
    <t>Imperial Beach substation DC reliability upgrades</t>
  </si>
  <si>
    <t>2020-2055</t>
  </si>
  <si>
    <t>2021-11-02</t>
  </si>
  <si>
    <t>2022-06-17</t>
  </si>
  <si>
    <t xml:space="preserve"> A DCRU PHASE IV   MIRAMAR</t>
  </si>
  <si>
    <t>Miramar substation DC reliability upgrades</t>
  </si>
  <si>
    <t>2020-2054</t>
  </si>
  <si>
    <t>2024-03-04</t>
  </si>
  <si>
    <t>2025-01-14</t>
  </si>
  <si>
    <t>2021 | 2024 | 2025</t>
  </si>
  <si>
    <t xml:space="preserve"> A DCRU: VARIOUS SUBS 2021</t>
  </si>
  <si>
    <t>[CPUC Status] Exempt 
[Utility Unique ID #1] 2021-2178 , 2020-2101 , 2021-2315 , 2022-2765</t>
  </si>
  <si>
    <t xml:space="preserve"> A DCRU: SONGS (SAN ONOFRE)</t>
  </si>
  <si>
    <t>Install two new 8.5 Ton HVAC units to replace existing end of life units.</t>
  </si>
  <si>
    <t xml:space="preserve">230 </t>
  </si>
  <si>
    <t>2024-3883</t>
  </si>
  <si>
    <t>2025-08-25</t>
  </si>
  <si>
    <t>2025-10-27</t>
  </si>
  <si>
    <t>Richard Rodriguez</t>
  </si>
  <si>
    <t xml:space="preserve"> TL23001 TL23004 Wood to Steel Replacement (Mission   San Luis Rey) </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</si>
  <si>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</si>
  <si>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</si>
  <si>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QS00142</t>
  </si>
  <si>
    <t>2019-10-18</t>
  </si>
  <si>
    <t>Matt Huber</t>
  </si>
  <si>
    <t xml:space="preserve"> New 2nd Miguel to Bay Blvd. 230 kV Line </t>
  </si>
  <si>
    <t>Bonita, San Diego | Chula Vista, San Diego</t>
  </si>
  <si>
    <t>New 2nd Miguel to Bay Blvd. 230 kV Line</t>
  </si>
  <si>
    <t>2015-00021</t>
  </si>
  <si>
    <t>QS00143</t>
  </si>
  <si>
    <t xml:space="preserve">https://www.caiso.com/planning/Pages/TransmissionPlanning/2015-2016TransmissionPlanningProcess.aspx  </t>
  </si>
  <si>
    <t>2018-04-02</t>
  </si>
  <si>
    <t>2018-06-01</t>
  </si>
  <si>
    <t>2019-08-21</t>
  </si>
  <si>
    <t xml:space="preserve"> [See Notes for NERC Compliance and contingency code, WECC Requirement (and the specific requirement)] 
 [CPUC Status] </t>
  </si>
  <si>
    <t xml:space="preserve"> TL605 Reconductor (Silvergate   Urban) </t>
  </si>
  <si>
    <t>Reconductor TL605 with 2-636ACSS (200MVA) or equivalent Note: there is an active project (ID:2015-00013; budget code: 16158) with ISD of 6/26/2024. This new summited cost request is to upgrade the current design line rating from 137 MVA to 200MVA</t>
  </si>
  <si>
    <t>16</t>
  </si>
  <si>
    <t>2015-00013</t>
  </si>
  <si>
    <t>QS00144</t>
  </si>
  <si>
    <t>2024-01-15</t>
  </si>
  <si>
    <t>2024-11-20</t>
  </si>
  <si>
    <t>ISO Action</t>
  </si>
  <si>
    <t>San Mateo Substation</t>
  </si>
  <si>
    <t>Rebuild the existing 138/12 kV San Mateo Substation to Enhance reliability and minimize outage impacts in the San Clemente area.</t>
  </si>
  <si>
    <t>18; 18; 18; 9; 53; 44</t>
  </si>
  <si>
    <t>12kV | 138kV</t>
  </si>
  <si>
    <t>2017-0160</t>
  </si>
  <si>
    <t>QS00149</t>
  </si>
  <si>
    <t>Betty Pelgen</t>
  </si>
  <si>
    <t xml:space="preserve"> SCADA HEAD END REPLA </t>
  </si>
  <si>
    <t>SCADA Headend software/hardware replacement</t>
  </si>
  <si>
    <t>18</t>
  </si>
  <si>
    <t>12 |69</t>
  </si>
  <si>
    <t>QS00154</t>
  </si>
  <si>
    <t>2023-07-31</t>
  </si>
  <si>
    <t>2026-12-30</t>
  </si>
  <si>
    <t xml:space="preserve"> TL632A Loop In (Granite) </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</si>
  <si>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</si>
  <si>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</si>
  <si>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</si>
  <si>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$10 Mil -$15 Mil</t>
  </si>
  <si>
    <t>2.5</t>
  </si>
  <si>
    <t>2015-00005</t>
  </si>
  <si>
    <t>QS00158</t>
  </si>
  <si>
    <t xml:space="preserve">https://www.caiso.com/planning/Pages/TransmissionPlanning/2014-2015TransmissionPlanningProcess.aspx  </t>
  </si>
  <si>
    <t>2025-01-30</t>
  </si>
  <si>
    <t>2025-09-01</t>
  </si>
  <si>
    <t>2027-05-24</t>
  </si>
  <si>
    <t xml:space="preserve"> TL611 Direct Buried Cable Replacement (Old Town   Point Loma) </t>
  </si>
  <si>
    <t xml:space="preserve">Direct-Buried Cable Replacement (Approx. 1-mile trench and substructures) </t>
  </si>
  <si>
    <t>57;57</t>
  </si>
  <si>
    <t>2012-0002-ZZ</t>
  </si>
  <si>
    <t>QS00720</t>
  </si>
  <si>
    <t>2027-12-02</t>
  </si>
  <si>
    <t>2028-04-05</t>
  </si>
  <si>
    <t xml:space="preserve"> TL603 Loop in (Sweetwater, National City, and Naval Station Metering) </t>
  </si>
  <si>
    <t>National City, San Diego</t>
  </si>
  <si>
    <t xml:space="preserve">Open Sweetwater Tap and make TL603D and TL603B one continuous 69kV line from national City to Sweetwater. </t>
  </si>
  <si>
    <t>2</t>
  </si>
  <si>
    <t>2015-00066</t>
  </si>
  <si>
    <t>QS00159</t>
  </si>
  <si>
    <t>2025-05-30</t>
  </si>
  <si>
    <t>2025-09-15</t>
  </si>
  <si>
    <t>2026-07-23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</si>
  <si>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</si>
  <si>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 xml:space="preserve"> TL6906 Mesa Rim Rearrangement </t>
  </si>
  <si>
    <t>A CAISO approved reliability project to loop in TL6906 in order to provide two (2) additional feeds to the Mesa Rim Substation, which is currently fed by two (2) transmission lines, TL675 and TL677. The loop-in consists of installation of two (2) cable poles, along with underground trenching and an XLPE cable system to complete the connection.</t>
  </si>
  <si>
    <t>27;27</t>
  </si>
  <si>
    <t>2014-00207-ZZ</t>
  </si>
  <si>
    <t>QS00160</t>
  </si>
  <si>
    <t>2018-11-05</t>
  </si>
  <si>
    <t>2020-08-05</t>
  </si>
  <si>
    <t xml:space="preserve"> Imperial Valley Substation: Replace Bank 80 </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</si>
  <si>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</si>
  <si>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</si>
  <si>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</si>
  <si>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</si>
  <si>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QS00161</t>
  </si>
  <si>
    <t>2018-10-16</t>
  </si>
  <si>
    <t>2019-06-28</t>
  </si>
  <si>
    <t>2019-05-11</t>
  </si>
  <si>
    <t xml:space="preserve"> TL690 Direct Buried Cable Replacement (Oceanside   Oceanside Tap) </t>
  </si>
  <si>
    <t>Oceanside, San Diego | Camp Pendleton South, San Diego</t>
  </si>
  <si>
    <t>Direct-Buried Cable Replacement. Approx. 1-mile trench and substructures. (canceled/suspended)</t>
  </si>
  <si>
    <t>2014-00017-ZZ</t>
  </si>
  <si>
    <t>QS00163</t>
  </si>
  <si>
    <t>2027-06-14</t>
  </si>
  <si>
    <t>2028-11-13</t>
  </si>
  <si>
    <t xml:space="preserve"> TL628 Direct Buried Cable Replacement (Rancho Del Rey &amp; H St.) </t>
  </si>
  <si>
    <t>Direct-Buried Cable Replacement (On Hold)</t>
  </si>
  <si>
    <t>2017-0021</t>
  </si>
  <si>
    <t>QS00164</t>
  </si>
  <si>
    <t xml:space="preserve">[Reason for Change in In-Service Date] Project was put on hold for prioritization purposes and budget constraints. </t>
  </si>
  <si>
    <t xml:space="preserve"> TL698 Direct Buried Cable Replacement (Avocado Sub Getaway) </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</si>
  <si>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</si>
  <si>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</si>
  <si>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</si>
  <si>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QS00166</t>
  </si>
  <si>
    <t>2019-11-22</t>
  </si>
  <si>
    <t>2020-05-01</t>
  </si>
  <si>
    <t xml:space="preserve"> TL697 Direct Buried Cable Replacement (Oceaside Sub Getaway) </t>
  </si>
  <si>
    <t>Direct-Buried Cable Replacement (canceled/suspended)</t>
  </si>
  <si>
    <t>2017-0025</t>
  </si>
  <si>
    <t>QS00167</t>
  </si>
  <si>
    <t>2027-03-24</t>
  </si>
  <si>
    <t>2027-12-31</t>
  </si>
  <si>
    <t xml:space="preserve"> TL667 Direct Buried Cable Replacement (El Camino Real) </t>
  </si>
  <si>
    <t>2014-0022</t>
  </si>
  <si>
    <t>QS00169</t>
  </si>
  <si>
    <t>2027-11-05</t>
  </si>
  <si>
    <t xml:space="preserve"> TL673 Direct Buried Cable Replacement (Rose Canyon   La Jolla) </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</si>
  <si>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</si>
  <si>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5</t>
  </si>
  <si>
    <t>2017-0023</t>
  </si>
  <si>
    <t>QS00170</t>
  </si>
  <si>
    <t>2021-07-26</t>
  </si>
  <si>
    <t xml:space="preserve"> Avocado Substation 69kV Rebuild </t>
  </si>
  <si>
    <t xml:space="preserve">Substation Rebuild, Transformers, Control Shelter &amp; Relays &amp; CS equipment, expanded the substation, change out 69kV circuit breakers, PT, and disconnects. </t>
  </si>
  <si>
    <t>50; 50; 61</t>
  </si>
  <si>
    <t>60MVA</t>
  </si>
  <si>
    <t>2014-00941-ZZ</t>
  </si>
  <si>
    <t>QS00171</t>
  </si>
  <si>
    <t>2018-09-17</t>
  </si>
  <si>
    <t>2021-10-14</t>
  </si>
  <si>
    <t>2020-11-16</t>
  </si>
  <si>
    <t xml:space="preserve"> TL691 Direct Buried Cable Replacement (Avocado Sub Getaway) </t>
  </si>
  <si>
    <t>This project replaces approximately 900 of direct buried cable on TL698 from Avocado Substation to Structure Z15588 with concrete encased conduit, cable pole and cable.</t>
  </si>
  <si>
    <t>2017-0027</t>
  </si>
  <si>
    <t>QS00174</t>
  </si>
  <si>
    <t xml:space="preserve"> San Marcos Substation 69kV Rebuild &amp; 12kV Switchgear </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</si>
  <si>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</si>
  <si>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</si>
  <si>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</si>
  <si>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</si>
  <si>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2026-09-30</t>
  </si>
  <si>
    <t>Robert May</t>
  </si>
  <si>
    <t xml:space="preserve"> TL662 TL666 Reliability Project </t>
  </si>
  <si>
    <t>Project involves installing two new retaining walls to mitigate potential landslide risk for overhead electric poles within existing SDG&amp;E utility easement located in Torrey Pines.</t>
  </si>
  <si>
    <t>2023-3558</t>
  </si>
  <si>
    <t>QS00196</t>
  </si>
  <si>
    <t>2027-03-04</t>
  </si>
  <si>
    <t>2027-09-30</t>
  </si>
  <si>
    <t xml:space="preserve">[Reason Change -Service Date] Contracting delays 
[CPUC Status] N/A - Prescoping efforts. Filing type not yet determined.  
</t>
  </si>
  <si>
    <t xml:space="preserve"> Escondido Substation 230kV Rebuild </t>
  </si>
  <si>
    <t xml:space="preserve">Escondido, San Diego </t>
  </si>
  <si>
    <t>A 230kV transmission line between the existing Sycamore Canyon and Penasquitos substations.  The new 230kV line would include the installation of new 138kV and 230kV steel poles, utilize existing overhead structures within the Approved Project Sponsor’s existing right-of-way (ROW), and installation of new underground lines in the Approved Project Sponsor’s franchise position in a city street as outlined in the approved CPCN in the following manner:  Installation of new 230-kV line (TL23071) in an underground configuration from Sycamore Substation to a new 230kV single-circuit dulled galvanized cable pole just outside the substation within existing Approved Project Sponsor ROW. Modifications to existing 138-kV line (TL13820) included.  Installation of new 230-kV overhead line (TL23071) west from the new 230kV cable pole outside of Sycamore Substation through one (1) new 230-kV  dulled galvanized steel tubular monopole to a second new 230kV dulled galvanized cable pole located north of Stonebridge Parkway within existing Approved Project Sponsor ROW. Modifications to existing 138-kV line (TL13820) included. Grade new or refresh existing construction maintenance pads and spur roads for the new 230-kV poles as-needed. Installation of new 230-kV underground line (TL23071) in city streets (Stonebridge Parkway and Pomerado Road) utilizing existing franchise position for almost the entire segment. Underground rights through an existing access road to existing ROW would need to be acquired. Installation of new 230-kV underground line (TL23071) to cross I‐15 via two new cable poles. Installation of new 230-kV underground line (TL23071) in city streets (Miramar Road, Black Mountain Road, Activity Road, Camino Ruiz, Miralani Drive, Arjons Drive, Trade Place, Trade Street, Camino Santa Fe, Carroll Road/Carroll Canyon Road) utilizing existing franchise position for almost the entire segment. Installation of new 230-kV cable pole within existing ROW to transition from underground to overhead and installation of new 230-kV conductor on existing structures located within an existing SDG&amp;E ROW into the Peñasquitos Substation.</t>
  </si>
  <si>
    <t xml:space="preserve">40; 44; 46; 16; 16; 16; 23; 16; 16; 24; 24 </t>
  </si>
  <si>
    <t>2024-4134</t>
  </si>
  <si>
    <t>QS00197</t>
  </si>
  <si>
    <t>2032-01-31</t>
  </si>
  <si>
    <t xml:space="preserve"> Mission 69kV Sub Rebuild </t>
  </si>
  <si>
    <t>Install shoo-flys for TL618, TL663 &amp; TL13822 in conflict and replace 69kV AIS with a GIS</t>
  </si>
  <si>
    <t>2019-1012</t>
  </si>
  <si>
    <t>QS00198</t>
  </si>
  <si>
    <t>2022-12-05</t>
  </si>
  <si>
    <t>2025-12-01</t>
  </si>
  <si>
    <t>2025-06-30</t>
  </si>
  <si>
    <t>2023 | 2025</t>
  </si>
  <si>
    <t>[Reason for Change in In-Service Date] Approval for Mission was July 2021, then we onboard a contractor in June 2022.</t>
  </si>
  <si>
    <t xml:space="preserve"> Oceanside Substation 69kV Rebuild </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</si>
  <si>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</si>
  <si>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</si>
  <si>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</si>
  <si>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</si>
  <si>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2022-07-18</t>
  </si>
  <si>
    <t>2021-09-27</t>
  </si>
  <si>
    <t>2023-12-04</t>
  </si>
  <si>
    <t xml:space="preserve"> Skills Training Center – Transmission Yard Expansion </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</si>
  <si>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</si>
  <si>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</si>
  <si>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</si>
  <si>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QS00380</t>
  </si>
  <si>
    <t>2020-05-18</t>
  </si>
  <si>
    <t>2021-11-29</t>
  </si>
  <si>
    <t>2022-04-01</t>
  </si>
  <si>
    <t>2022 | 2023 | 2025</t>
  </si>
  <si>
    <t xml:space="preserve"> [See Notes for NERC Compliance and contingency code, WECC Requirement (and the specific requirement)] 
[Primary Purpose] Infrastructure not connected to the grid for training purposes.
</t>
  </si>
  <si>
    <t xml:space="preserve"> Miguel Substation 230kV Rebuild </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</si>
  <si>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</si>
  <si>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</si>
  <si>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</si>
  <si>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</si>
  <si>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QS00350</t>
  </si>
  <si>
    <t>2019-09-23</t>
  </si>
  <si>
    <t>2022-03-23</t>
  </si>
  <si>
    <t xml:space="preserve">[Age of Asset] Construction of OH/UG transmission training facilities for SDGE line crews to perform construction and maintenance of transmission lines throughout service territory.
[Reason for Change in In-Service Date] In-service dates are estimated during preliminary design and permitting stages of a project; date shifted to reflect actual design and construction schedule. </t>
  </si>
  <si>
    <t xml:space="preserve"> Mission Substation 230kV Rebuild </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</si>
  <si>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</si>
  <si>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</si>
  <si>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</si>
  <si>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</si>
  <si>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</si>
  <si>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</si>
  <si>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 xml:space="preserve"> NEW DOWNTOWN 69/12KV </t>
  </si>
  <si>
    <t>New Downtown Substation 69 |12kV</t>
  </si>
  <si>
    <t>0.5</t>
  </si>
  <si>
    <t>12kV |69kV</t>
  </si>
  <si>
    <t>2024-9876</t>
  </si>
  <si>
    <t>QS00318</t>
  </si>
  <si>
    <t>2030-07-09</t>
  </si>
  <si>
    <t>2031-12-31</t>
  </si>
  <si>
    <t>2032-02-12</t>
  </si>
  <si>
    <t xml:space="preserve">[Reason Change -Service Date] Updated timelines as scope continues to develop 
</t>
  </si>
  <si>
    <t>[Programmatic]  Trans Fiber Links HFTD</t>
  </si>
  <si>
    <t>Install ADSS and or OPGW on existing Transmission overhead structures to support the Wildfire Mitigation Plan</t>
  </si>
  <si>
    <t>TRUE | TRUE | TRUE</t>
  </si>
  <si>
    <t>QBL0100</t>
  </si>
  <si>
    <t xml:space="preserve">[CPUC Status] Exempt 
 [Age of Asset] Unable to provide age of asset for Programmatic budget codes
</t>
  </si>
  <si>
    <t xml:space="preserve"> A CMP_T0_LR_TL689_Z614851X_NON_TT</t>
  </si>
  <si>
    <t>Two poles are being replaced with foundation poles (Z12466, Z614851), one pole topped (Z12469), and one RFS pole (Z12467).</t>
  </si>
  <si>
    <t>67</t>
  </si>
  <si>
    <t>TL689 Z614851/Z12466</t>
  </si>
  <si>
    <t>2020-05-28</t>
  </si>
  <si>
    <t xml:space="preserve">[CPUC Status] Exempt 
[Project Description - What] Fiber infrastructure build supports all transmission, distribution, substation, and IT equipment/systems for operations, metering, and real time monitoring.
</t>
  </si>
  <si>
    <t xml:space="preserve"> A 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</si>
  <si>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</si>
  <si>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</si>
  <si>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2020-03-02; 2020-07-06; 2020-07-06</t>
  </si>
  <si>
    <t>2023-01-24</t>
  </si>
  <si>
    <t>2022-06-01</t>
  </si>
  <si>
    <t>2023-07-24</t>
  </si>
  <si>
    <t xml:space="preserve">[Project Description - What] Fiber infrastructure build supports all transmission, distribution, substation, and IT equipment/systems for operations, metering, and real time monitoring. 
</t>
  </si>
  <si>
    <t xml:space="preserve"> A 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</si>
  <si>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</si>
  <si>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</si>
  <si>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2023-01-12; 2020-04-30; 2020-07-06</t>
  </si>
  <si>
    <t>2023-10-23</t>
  </si>
  <si>
    <t>2024-01-18</t>
  </si>
  <si>
    <t xml:space="preserve">[CPUC Status] Exempt  
[Project Description - What] Fiber infrastructure build supports all transmission, distribution, substation, and IT equipment/systems for operations, metering, and real time monitoring. 
</t>
  </si>
  <si>
    <t xml:space="preserve"> A TL23022/23023 MISSION EL R2</t>
  </si>
  <si>
    <t>San Diego, Lakeside, Rancho San Diego</t>
  </si>
  <si>
    <t>Reinforcement of all Towers.
 installing 15.5 miles of OPGW</t>
  </si>
  <si>
    <t>2009-00009-ZZ</t>
  </si>
  <si>
    <t>2024-08-19</t>
  </si>
  <si>
    <t>2024-10-24</t>
  </si>
  <si>
    <t>2025-09-23</t>
  </si>
  <si>
    <t xml:space="preserve"> A FBI_T2_L3_TL23051_Z873123_NONTT</t>
  </si>
  <si>
    <t>San Diego, Poway</t>
  </si>
  <si>
    <t>Install Fiber Sycamore to Chicarita Sub ( 5.8 miles)..
 Install Fiber from Chicarita sub to Artesia (5 miles)</t>
  </si>
  <si>
    <t>2009-00014-ZZ</t>
  </si>
  <si>
    <t>2022-11-29; 2020-02-06;  2021-12-15</t>
  </si>
  <si>
    <t>2025-08-12</t>
  </si>
  <si>
    <t xml:space="preserve"> A TL23030 6932 PA LI FIBER L3</t>
  </si>
  <si>
    <t>Engineer and construct 9.3-miles of overhead OPGW-96 fiber optic cable structures between Lilac and Pala substations.</t>
  </si>
  <si>
    <t>2014-00958-ZZ</t>
  </si>
  <si>
    <t>2023-03-16; 2019-04-29</t>
  </si>
  <si>
    <t>2025-08-18</t>
  </si>
  <si>
    <t>2020-12-15</t>
  </si>
  <si>
    <t>2026-01-09</t>
  </si>
  <si>
    <t xml:space="preserve"> A TL689 BERNARDO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</si>
  <si>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</si>
  <si>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39;78;78;48;59;54;57;52</t>
  </si>
  <si>
    <t>2014-00626-ZZ</t>
  </si>
  <si>
    <t>2023-01-05; 2016-08-30; 2017-06-30; 2020-02-26</t>
  </si>
  <si>
    <t>2024-01-08</t>
  </si>
  <si>
    <t>2018-06-20</t>
  </si>
  <si>
    <t xml:space="preserve">[CPUC Status] Exempt 
[Project Description - What] Fiber infrastructure build supports all transmission, distribution, substation, and IT equipment/systems for operations, metering, and real time monitoring. 
</t>
  </si>
  <si>
    <t xml:space="preserve"> A TL635 LOS COCHES CREELMAN SUBS</t>
  </si>
  <si>
    <t>Ramona, San Diego</t>
  </si>
  <si>
    <t>This project installs a fiber optic connection between Creelman Substation and Los Coches Substation.</t>
  </si>
  <si>
    <t>2014-01080-ZZ</t>
  </si>
  <si>
    <t>2020-01-28; 2020-02-26; 2020-02-26</t>
  </si>
  <si>
    <t>2021-06-01</t>
  </si>
  <si>
    <t>2022-03-22</t>
  </si>
  <si>
    <t xml:space="preserve"> A TL6917 CREELMAN   SYCAMORE CYN</t>
  </si>
  <si>
    <t>This project installs a fiber optic connection between Sycamore Canyon Substation and Creelman Substation.</t>
  </si>
  <si>
    <t>26</t>
  </si>
  <si>
    <t>2014-01079-ZZ</t>
  </si>
  <si>
    <t>2022-02-17</t>
  </si>
  <si>
    <t xml:space="preserve"> A FBI_T2_L3_TL230001_Z96439_NONTT</t>
  </si>
  <si>
    <t>FBI TL23004-TL23001 MROPS - RBDC Fiber Build</t>
  </si>
  <si>
    <t>2014-00950-ZZ</t>
  </si>
  <si>
    <t>2020-12-01</t>
  </si>
  <si>
    <t xml:space="preserve"> A 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</si>
  <si>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</si>
  <si>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</si>
  <si>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53;53;53</t>
  </si>
  <si>
    <t>2019-4008</t>
  </si>
  <si>
    <t>2023-01-05; 2020-01-08; 2020-01-16; 2020-01-16</t>
  </si>
  <si>
    <t>2023-06-19</t>
  </si>
  <si>
    <t>2022-08-20</t>
  </si>
  <si>
    <t>2023-11-15</t>
  </si>
  <si>
    <t xml:space="preserve"> [CPUC Status] Exempt 
[Project Description - What] Fiber infrastructure build supports all transmission, distribution, substation, and IT equipment/systems for operations, metering, and real time monitoring. 
</t>
  </si>
  <si>
    <t xml:space="preserve"> A TL23022/23 MISSION TO LOS COCHE</t>
  </si>
  <si>
    <t>San Diego, Santee, Granite Hills, San Diego COunty</t>
  </si>
  <si>
    <t>Remove and replace 19miles of  OHGW with OPGW.</t>
  </si>
  <si>
    <t>2023-3234</t>
  </si>
  <si>
    <t>2026-05-26</t>
  </si>
  <si>
    <t>2027-07-21</t>
  </si>
  <si>
    <t xml:space="preserve"> A FBI TL23002/23010 SOSA</t>
  </si>
  <si>
    <t>Camp Pendleton</t>
  </si>
  <si>
    <t>Remove and replace 18 miles of OHGW with OPGW</t>
  </si>
  <si>
    <t>2023-3433</t>
  </si>
  <si>
    <t>2025-11-11</t>
  </si>
  <si>
    <t>2027-04-30</t>
  </si>
  <si>
    <t xml:space="preserve"> A FBI TL23006 SO  SA</t>
  </si>
  <si>
    <t>2023-3431</t>
  </si>
  <si>
    <t>2027-01-30</t>
  </si>
  <si>
    <t>2027-02-26</t>
  </si>
  <si>
    <t xml:space="preserve"> A FBI TL23052/23007 SO  TA</t>
  </si>
  <si>
    <t>Remove and replace 7 miles of OHGW with OPGW</t>
  </si>
  <si>
    <t>2023-3434</t>
  </si>
  <si>
    <t>2025-06-03</t>
  </si>
  <si>
    <t>2026-11-15</t>
  </si>
  <si>
    <t>2027-05-03</t>
  </si>
  <si>
    <t xml:space="preserve">[CPUC Status Exempt </t>
  </si>
  <si>
    <t xml:space="preserve"> A FBI TL23004/23001 SAN LUIS REY</t>
  </si>
  <si>
    <t>Remove and replace 6miles of OHGW with OPGW</t>
  </si>
  <si>
    <t>2023-3412</t>
  </si>
  <si>
    <t>2026-09-25</t>
  </si>
  <si>
    <t>2027-05-17</t>
  </si>
  <si>
    <t xml:space="preserve"> A 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</si>
  <si>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</si>
  <si>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HFTD Tier 2 | HFTD Tier 3</t>
  </si>
  <si>
    <t>2014-00624-ZZ</t>
  </si>
  <si>
    <t>2022-02-04; 2020-01-27; 2020-01-14; 2020-01-14</t>
  </si>
  <si>
    <t xml:space="preserve"> A FBI_T2_L2_TL683_Z518466_NONTT</t>
  </si>
  <si>
    <t>Valley Center, San Diego County</t>
  </si>
  <si>
    <t>This project installs 9.7 miles of ADSS fiber</t>
  </si>
  <si>
    <t>53;53;24;53;36;53;53;41</t>
  </si>
  <si>
    <t>2014-00983-ZZ</t>
  </si>
  <si>
    <t>2020-01-08; 2021-12-15; 2021-12-15</t>
  </si>
  <si>
    <t>2022-12-01</t>
  </si>
  <si>
    <t>2026-04-27</t>
  </si>
  <si>
    <t xml:space="preserve"> A 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</si>
  <si>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</si>
  <si>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</si>
  <si>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 xml:space="preserve">[See Notes for NERC Compliance and contingency code, WECC Requirement (and the specific requirement)] 
 [CPUC Status] Exempt </t>
  </si>
  <si>
    <t xml:space="preserve"> A 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</si>
  <si>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</si>
  <si>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2020-4024</t>
  </si>
  <si>
    <t>2025-05-21</t>
  </si>
  <si>
    <t xml:space="preserve"> A 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</si>
  <si>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</si>
  <si>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2014-00979-ZZ</t>
  </si>
  <si>
    <t>2023-04-04; 2024-01-23; 2022-01-31</t>
  </si>
  <si>
    <t>2026-02-03</t>
  </si>
  <si>
    <t xml:space="preserve"> [CPUC Status] Exempt</t>
  </si>
  <si>
    <t xml:space="preserve"> A TL681 VALLEY ASH FIB R3</t>
  </si>
  <si>
    <t>Escondido, Valley Center</t>
  </si>
  <si>
    <t>This project installs a fiber optic connection between Valley Center Substation and Ash Substation.</t>
  </si>
  <si>
    <t>8</t>
  </si>
  <si>
    <t>2014-00949-ZZ</t>
  </si>
  <si>
    <t>2020-01-29; 2020-02-07</t>
  </si>
  <si>
    <t>2025-09-10</t>
  </si>
  <si>
    <t>2026-08-12</t>
  </si>
  <si>
    <t>Tim Knowd</t>
  </si>
  <si>
    <t xml:space="preserve"> HFTD Undergrounding</t>
  </si>
  <si>
    <t xml:space="preserve">Conversion of OH dist. lines to UG dist. lines within the HFTD </t>
  </si>
  <si>
    <t>QBL0081</t>
  </si>
  <si>
    <t>[Programmatic]  HFTD Undergrounding</t>
  </si>
  <si>
    <t>Blanket budget for High Fire Threat District undergrounding work. This is an electric distribution blanket budget. The forecasted costs shown for this project are only the FERC-specific transmission costs.</t>
  </si>
  <si>
    <t xml:space="preserve"> [Wildfire Related ] Project is part of wildfire mitigation program</t>
  </si>
  <si>
    <t xml:space="preserve"> Urban Substation Rebuild </t>
  </si>
  <si>
    <t>Urban Substation - new perimeter wall construction and 12kV Switchgear &amp; Capacitor Replacement</t>
  </si>
  <si>
    <t>69kV |12kV</t>
  </si>
  <si>
    <t>2021-2065</t>
  </si>
  <si>
    <t>QS00397</t>
  </si>
  <si>
    <t>2023-07-13</t>
  </si>
  <si>
    <t>2027-03-31</t>
  </si>
  <si>
    <t>2027-04-07</t>
  </si>
  <si>
    <t xml:space="preserve">[CPUC Status] NA 
[Reason for Change in In-Service Date] In-service dates are estimated during preliminary design and permitting stages of a project; date shifted to reflect actual design and construction schedule. </t>
  </si>
  <si>
    <t>Cuong Tang</t>
  </si>
  <si>
    <t xml:space="preserve"> Electric Transmission EMS/SCADA Replacement </t>
  </si>
  <si>
    <t>Mission and Metro Control Centers</t>
  </si>
  <si>
    <t>Replacement of Energy Management System (EMS) software, applications, and supporting infrastructure at Electric Transmissions Mission Control Center and Metro Control Center.  The EMS is used by Grid Operators to monitor and control the transmission grid.</t>
  </si>
  <si>
    <t>46</t>
  </si>
  <si>
    <t>QS00452</t>
  </si>
  <si>
    <t>[Programmatic] Transmission CMP Non HFTD</t>
  </si>
  <si>
    <t>Remediate CMP Issues in the Non-HFTD Zone</t>
  </si>
  <si>
    <t>Asset Condition</t>
  </si>
  <si>
    <t>QBL0098</t>
  </si>
  <si>
    <t xml:space="preserve"> 53551  ACMP_T0_L2_TL6925_Z273965_14637</t>
  </si>
  <si>
    <t>El Cajon, San Diego</t>
  </si>
  <si>
    <t>64</t>
  </si>
  <si>
    <t>Tier 0</t>
  </si>
  <si>
    <t>2023-3297</t>
  </si>
  <si>
    <t>2020-06-19; 2024-04-22</t>
  </si>
  <si>
    <t>2024-07-12</t>
  </si>
  <si>
    <t>2026-03-03</t>
  </si>
  <si>
    <t>Scope Change</t>
  </si>
  <si>
    <t xml:space="preserve">[Age of Asset] Unable to provide age of asset for Programmatic budget codes
</t>
  </si>
  <si>
    <t xml:space="preserve"> A CMP_T0_TL630_Z475724_TT13577</t>
  </si>
  <si>
    <t>62</t>
  </si>
  <si>
    <t>TL630 Z475724</t>
  </si>
  <si>
    <t>2021-03-08; 2018-02-20</t>
  </si>
  <si>
    <t>2022-12-16</t>
  </si>
  <si>
    <t>2023-12-09</t>
  </si>
  <si>
    <t xml:space="preserve">[Age of Asset] Unable to provide age of asset for Programmatic budget codes
</t>
  </si>
  <si>
    <t xml:space="preserve"> A CMP_T0_L2_TL600_Z91160_14180</t>
  </si>
  <si>
    <t>72</t>
  </si>
  <si>
    <t>TL600 Z91160</t>
  </si>
  <si>
    <t>2022-02-04</t>
  </si>
  <si>
    <t>2023-06-11</t>
  </si>
  <si>
    <t xml:space="preserve"> A CMP_T0_L2_TL6908_Z618845_11163</t>
  </si>
  <si>
    <t>31</t>
  </si>
  <si>
    <t>TL6908 Z618845</t>
  </si>
  <si>
    <t>2021-07-01</t>
  </si>
  <si>
    <t xml:space="preserve"> A TL628 CMP TRANSMISSION P R9</t>
  </si>
  <si>
    <t>47;9</t>
  </si>
  <si>
    <t>TL628 Z282087&amp;Z86824</t>
  </si>
  <si>
    <t>2019-06-03</t>
  </si>
  <si>
    <t>2020-10-18</t>
  </si>
  <si>
    <t xml:space="preserve"> A CMP_T0_L3_TL655/699_ STRUCTURES</t>
  </si>
  <si>
    <t>2025-02-11; 2025-02-08</t>
  </si>
  <si>
    <t>27</t>
  </si>
  <si>
    <t>2022-2738</t>
  </si>
  <si>
    <t>2021-11-04; 2015-02-11</t>
  </si>
  <si>
    <t>2023-11-06</t>
  </si>
  <si>
    <t>2015-12-31</t>
  </si>
  <si>
    <t>2025-06-15</t>
  </si>
  <si>
    <t xml:space="preserve">[Age of Asset] Unable to provide age of asset for Programmatic budget codes
[Reason for Change in In-Service Date]  Multiple ESP Project. Delays from the agency to obtain the approved Railroad Permit Application. Job was awarded to one Contractor and re assigned to a different one due to the original contractor moving away from supporting the program
</t>
  </si>
  <si>
    <t xml:space="preserve"> A CMP_T0_L3_TL13815_Z731374_TT119</t>
  </si>
  <si>
    <t>138</t>
  </si>
  <si>
    <t>TL13815 Z731374</t>
  </si>
  <si>
    <t>2020-04-21</t>
  </si>
  <si>
    <t>2017-12-31</t>
  </si>
  <si>
    <t>2020-09-25</t>
  </si>
  <si>
    <t xml:space="preserve"> A TL638 Z61344 CMP POLE RE R4</t>
  </si>
  <si>
    <t>40</t>
  </si>
  <si>
    <t>TL638 Z61344</t>
  </si>
  <si>
    <t>2019-10-12</t>
  </si>
  <si>
    <t>2020 | 2021 | 2022 | 2023 | 2025</t>
  </si>
  <si>
    <t xml:space="preserve"> A TL680B PASS FAIL REPORT 19 TRAN</t>
  </si>
  <si>
    <t>0.1</t>
  </si>
  <si>
    <t>TL680B Group</t>
  </si>
  <si>
    <t>2019-06-29</t>
  </si>
  <si>
    <t>2020-06-28</t>
  </si>
  <si>
    <t xml:space="preserve"> A CMP_T0_L3_TL651_Z730387_TT13534</t>
  </si>
  <si>
    <t>TL651 Z730387</t>
  </si>
  <si>
    <t>2021-03-26; 2018-01-31</t>
  </si>
  <si>
    <t>2021-04-09</t>
  </si>
  <si>
    <t>2023-05-21</t>
  </si>
  <si>
    <t xml:space="preserve"> A TL23026 13815 Z189540 IN R3</t>
  </si>
  <si>
    <t>17</t>
  </si>
  <si>
    <t>138|230</t>
  </si>
  <si>
    <t>2019-4001</t>
  </si>
  <si>
    <t>2021-08-22</t>
  </si>
  <si>
    <t xml:space="preserve"> A CMP_T0_L2_TL652_Z214987X_15018</t>
  </si>
  <si>
    <t>TL652 Group 01</t>
  </si>
  <si>
    <t xml:space="preserve"> A CMP_T0_L2_TL608_Z371845X_NON_TT</t>
  </si>
  <si>
    <t>Lemon Grove, San Diego</t>
  </si>
  <si>
    <t>TL608 Group 01</t>
  </si>
  <si>
    <t>2023-04-24</t>
  </si>
  <si>
    <t xml:space="preserve"> A CMP_T0_L2_TL617_2320469X_NON_TT</t>
  </si>
  <si>
    <t>TL617 Group 01</t>
  </si>
  <si>
    <t>2021-11-25</t>
  </si>
  <si>
    <t>2022-04-10</t>
  </si>
  <si>
    <t xml:space="preserve"> A CMP_T0_L2_TL684_Z114414X_NON_TT</t>
  </si>
  <si>
    <t>29</t>
  </si>
  <si>
    <t>TL684 Group 03</t>
  </si>
  <si>
    <t>2021-01-15</t>
  </si>
  <si>
    <t>2021-06-28</t>
  </si>
  <si>
    <t xml:space="preserve"> A CMP_T0_L2_TL684_Z815163X_NON_TT</t>
  </si>
  <si>
    <t>TL684 Group 05</t>
  </si>
  <si>
    <t>2021-03-02</t>
  </si>
  <si>
    <t>2021-07-24</t>
  </si>
  <si>
    <t xml:space="preserve"> A CMP_T0_L2_TL624_Z371343X_NON_TT</t>
  </si>
  <si>
    <t>35</t>
  </si>
  <si>
    <t>TL624 Group 04</t>
  </si>
  <si>
    <t>2021-03-26;2019-10-11</t>
  </si>
  <si>
    <t>2022-03-26</t>
  </si>
  <si>
    <t>2022-12-10</t>
  </si>
  <si>
    <t xml:space="preserve"> A CMP_T0_L2_TL603_Z183889X_14421</t>
  </si>
  <si>
    <t>75</t>
  </si>
  <si>
    <t>TL603 Z1838893443</t>
  </si>
  <si>
    <t>2021-10-18; 2019-12-12; 2019-12-12</t>
  </si>
  <si>
    <t>2023-01-10</t>
  </si>
  <si>
    <t xml:space="preserve"> A CMP_T0_L2_TL681_Z12922,X_NON_TT</t>
  </si>
  <si>
    <t>61;61;61;45;51;42</t>
  </si>
  <si>
    <t>TL681 Group 03</t>
  </si>
  <si>
    <t>2022-03-19</t>
  </si>
  <si>
    <t xml:space="preserve"> A CMP_T0_LX_TL662 TL6905_COASTAL</t>
  </si>
  <si>
    <t>33;33;33;33;33;44;33;44</t>
  </si>
  <si>
    <t>2023-3590</t>
  </si>
  <si>
    <t>2024-08-12</t>
  </si>
  <si>
    <t>2025-03-09</t>
  </si>
  <si>
    <t xml:space="preserve"> A CMP_T0_L3_TL13840_Z579784_11835</t>
  </si>
  <si>
    <t>TL13840 Z579784</t>
  </si>
  <si>
    <t>2026-02-24</t>
  </si>
  <si>
    <t xml:space="preserve"> A CMP_T0_L2_TL642_Z184518X_12827</t>
  </si>
  <si>
    <t>49;49</t>
  </si>
  <si>
    <t>2022-2728</t>
  </si>
  <si>
    <t>2022-04-05; 2024-06-24;2016-08-15</t>
  </si>
  <si>
    <t>2022-05-25</t>
  </si>
  <si>
    <t>2024-08-03</t>
  </si>
  <si>
    <t>2986802 - A CMP_T0_L3_TL618/619_Z579013X_12</t>
  </si>
  <si>
    <t>Remediate CMP Issues</t>
  </si>
  <si>
    <t>2024-3689</t>
  </si>
  <si>
    <t>QBL0092</t>
  </si>
  <si>
    <t>06-24-2025;10-7-2015;8-27-2015;08-31-2015</t>
  </si>
  <si>
    <t>2025-11-18</t>
  </si>
  <si>
    <t>[ReasonChange Service Date(2)] Permitting, material and access issues all caused delays on this project.  New access roads and work pads needed to be established.</t>
  </si>
  <si>
    <t xml:space="preserve"> A CMP_T0_LX_TL687_GROUP03_NONTT</t>
  </si>
  <si>
    <t>Borrego Springs</t>
  </si>
  <si>
    <t>2023-3531</t>
  </si>
  <si>
    <t>2024-11-21</t>
  </si>
  <si>
    <t xml:space="preserve"> A CMP_T0_LX_TL688 Z214887_TT15487</t>
  </si>
  <si>
    <t>2021-2354</t>
  </si>
  <si>
    <t>2023-10-10; 2021-08-16</t>
  </si>
  <si>
    <t>2024-05-30</t>
  </si>
  <si>
    <t>2021-11-24</t>
  </si>
  <si>
    <t xml:space="preserve"> A CMP_T0_L2_664_Z96050_NON_TT</t>
  </si>
  <si>
    <t>CMP_T0_Lx_TL664_Group03_NonTT</t>
  </si>
  <si>
    <t>2021-2545</t>
  </si>
  <si>
    <t>2022-11-14</t>
  </si>
  <si>
    <t>2023-11-12</t>
  </si>
  <si>
    <t xml:space="preserve"> A CMP_T0_L2_TL688 (99901)_Z214887</t>
  </si>
  <si>
    <t>TL688 (99901) Z214888 - CMP - TT# 11133 - TRANS-OH / CMP_T0_Lx_TL688_Z21488_TT11133</t>
  </si>
  <si>
    <t>2022-2639</t>
  </si>
  <si>
    <t>2024-5-29</t>
  </si>
  <si>
    <t>2024-11-24</t>
  </si>
  <si>
    <t xml:space="preserve"> A CMP_T0_L2_TL13834_Z128033_13605</t>
  </si>
  <si>
    <t>Laguna Niguel, Orange County</t>
  </si>
  <si>
    <t>TL13834 Z128033</t>
  </si>
  <si>
    <t>2023-07-19</t>
  </si>
  <si>
    <t>2024-10-02</t>
  </si>
  <si>
    <t xml:space="preserve"> A CMP_T0_L2_TL684_Z210594X_NON_TT</t>
  </si>
  <si>
    <t>TL684 Group 01- CMP- Non-TT (Pole Loading)</t>
  </si>
  <si>
    <t>TL684 Group 01</t>
  </si>
  <si>
    <t>2023-03-01</t>
  </si>
  <si>
    <t xml:space="preserve"> [Programmatic] Transmission CMP HFTD</t>
  </si>
  <si>
    <t xml:space="preserve"> Transmission CMP HFTD</t>
  </si>
  <si>
    <t>2021-12-18</t>
  </si>
  <si>
    <t xml:space="preserve"> A CMP_T3_L3_TL50003_Z123862X_1498</t>
  </si>
  <si>
    <t>TRUE | FALSE | FALSE</t>
  </si>
  <si>
    <t>500</t>
  </si>
  <si>
    <t>TL50003 Group 01</t>
  </si>
  <si>
    <t>2021-08-30</t>
  </si>
  <si>
    <t xml:space="preserve"> A CMP_T0_L3_TL13834_Z29678_10182</t>
  </si>
  <si>
    <t>San Juan Capistrano, Orange</t>
  </si>
  <si>
    <t>50</t>
  </si>
  <si>
    <t>TL13834 Z29678</t>
  </si>
  <si>
    <t>2022-10-03</t>
  </si>
  <si>
    <t xml:space="preserve"> A CMP_T0_L2_TL694_Z317855_10167</t>
  </si>
  <si>
    <t>37</t>
  </si>
  <si>
    <t>TL694 Z317855</t>
  </si>
  <si>
    <t>2021-12-01</t>
  </si>
  <si>
    <t>2023-10-15</t>
  </si>
  <si>
    <t xml:space="preserve"> A CMP_T0_L2_TL23010/02_Z223661_TT</t>
  </si>
  <si>
    <t>Remediate CMP Issues in the HFTD Zone (Tier 2 &amp; Tier 3)</t>
  </si>
  <si>
    <t>0.3</t>
  </si>
  <si>
    <t>TL23002 Z223661</t>
  </si>
  <si>
    <t>2024-05-15</t>
  </si>
  <si>
    <t>2024-12-22</t>
  </si>
  <si>
    <t xml:space="preserve">[Reason Change -Service Date] Environmental constraints related to the Pacific Pocket Mouse </t>
  </si>
  <si>
    <t xml:space="preserve"> A ET/OH&amp;UG MISC CONST INST/RFS</t>
  </si>
  <si>
    <t>Tier 2 | Tier 3</t>
  </si>
  <si>
    <t>2020-10-16</t>
  </si>
  <si>
    <t xml:space="preserve">Michael Wuethrich </t>
  </si>
  <si>
    <t xml:space="preserve"> TL610 Tier 2 W2S Project </t>
  </si>
  <si>
    <t xml:space="preserve">Wood to steel replacement on TL610 less than 2 miles. </t>
  </si>
  <si>
    <t xml:space="preserve">HFTD Tier 2 </t>
  </si>
  <si>
    <t>FALSE| TRUE | FALSE</t>
  </si>
  <si>
    <t>1.6</t>
  </si>
  <si>
    <t>2020-0272</t>
  </si>
  <si>
    <t>QS00474</t>
  </si>
  <si>
    <t>2023-02-13</t>
  </si>
  <si>
    <t>2026-10-01</t>
  </si>
  <si>
    <t xml:space="preserve"> TL627 Tier 2 W2S Project </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</si>
  <si>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</si>
  <si>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</si>
  <si>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34</t>
  </si>
  <si>
    <t>2019-0257</t>
  </si>
  <si>
    <t>QS00473</t>
  </si>
  <si>
    <t>2026-01-30</t>
  </si>
  <si>
    <t>2027-06-30</t>
  </si>
  <si>
    <t xml:space="preserve">[ReasonChange Service Date(2)] Q2 Refresh - Conservative outlook on ISD based on permitting process 
[Project Description - What] Project is both structure and conductor replacement.  
[Reason for Change in In-Service Date] - Dependency on C75 SUG completion to start the construction of TL627 W2S. </t>
  </si>
  <si>
    <t xml:space="preserve"> TL649 Tier 2 W2S Project </t>
  </si>
  <si>
    <t>23 wood poles in HFTD2 to be replaced from wood to steel. Two of the poles (Z192597 and Z82136), are multi-transmission wood pole structures (two poles).  1.162 Miles to be re-conductored.</t>
  </si>
  <si>
    <t>36</t>
  </si>
  <si>
    <t>2019-0268</t>
  </si>
  <si>
    <t>QS00472</t>
  </si>
  <si>
    <t>2024-06-24</t>
  </si>
  <si>
    <t>2024-12-20</t>
  </si>
  <si>
    <t xml:space="preserve">[CPUC Status] Exempt 
[Project Description - What] Project is both structure and conductor replacement.  
</t>
  </si>
  <si>
    <t xml:space="preserve"> TL13804 Wood to Steel </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</si>
  <si>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</si>
  <si>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</si>
  <si>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</si>
  <si>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</si>
  <si>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</si>
  <si>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</si>
  <si>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</si>
  <si>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</si>
  <si>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</si>
  <si>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 xml:space="preserve"> TL23001/04 Insulator and Hardware Replacement </t>
  </si>
  <si>
    <t>Encinitas, San Diego | Rancho Santa Fe, San Diego | Carlsbad, San Diego | San Diego, San Diego | Oceanside, San Diego</t>
  </si>
  <si>
    <t>TL23001 TL23004 Insulator and Hardware Replacement</t>
  </si>
  <si>
    <t>Transmission Line - Other Equipment</t>
  </si>
  <si>
    <t>Age/Condition - Replace Insulators</t>
  </si>
  <si>
    <t>2019-4004</t>
  </si>
  <si>
    <t>QS00479</t>
  </si>
  <si>
    <t>2022-03-01</t>
  </si>
  <si>
    <t>2022-07-29</t>
  </si>
  <si>
    <t>2022-10-11</t>
  </si>
  <si>
    <t xml:space="preserve"> TL6952 Tier 2 W2S Project </t>
  </si>
  <si>
    <t xml:space="preserve">Replace 9 wood pole structures in HFTD Tier 2 with steel pole structures and transfer approximately 1.5 miles of overhead conductor.  </t>
  </si>
  <si>
    <t>1.5</t>
  </si>
  <si>
    <t>2020-0287</t>
  </si>
  <si>
    <t>QS00466</t>
  </si>
  <si>
    <t>2025-11-05</t>
  </si>
  <si>
    <t>2026-05-31</t>
  </si>
  <si>
    <t xml:space="preserve"> TL661/TL664 Tier 2 W2S Project </t>
  </si>
  <si>
    <t xml:space="preserve">Replace 14 wood pole structures in HFTD Tier 2 with steel pole structures and install approximately 1.16 miles of overhead conductor. </t>
  </si>
  <si>
    <t>TRUE | TRUE | FALSE</t>
  </si>
  <si>
    <t>2020-0289</t>
  </si>
  <si>
    <t>QS00471</t>
  </si>
  <si>
    <t>2025-09-22</t>
  </si>
  <si>
    <t xml:space="preserve"> TL691 Tier 2 W2S Project </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</si>
  <si>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</si>
  <si>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</si>
  <si>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55</t>
  </si>
  <si>
    <t>2019-0269</t>
  </si>
  <si>
    <t>QS00469</t>
  </si>
  <si>
    <t>2027-03-08</t>
  </si>
  <si>
    <t>2027-09-10</t>
  </si>
  <si>
    <t xml:space="preserve"> TL675 Tier 2 W2S Project </t>
  </si>
  <si>
    <t>​57 poles to be replaced from wood to steel, and 6 miles to be reconductored.</t>
  </si>
  <si>
    <t>32</t>
  </si>
  <si>
    <t>2019-0251</t>
  </si>
  <si>
    <t>QS00470</t>
  </si>
  <si>
    <t>2025-01-20</t>
  </si>
  <si>
    <t>2025-12-08</t>
  </si>
  <si>
    <t xml:space="preserve"> TL6939 Tier 2 W2S Project </t>
  </si>
  <si>
    <t>42 poles in HFTD 2 to be replaced from wood to steel, and 2.5 miles to be reconductored.</t>
  </si>
  <si>
    <t xml:space="preserve">2019-0256 </t>
  </si>
  <si>
    <t>QS00467</t>
  </si>
  <si>
    <t xml:space="preserve"> TL6910 Tier 2 W2S Project </t>
  </si>
  <si>
    <t>R​eplace 14 wood poles to steel poles.</t>
  </si>
  <si>
    <t>2019-0254</t>
  </si>
  <si>
    <t>QS00468</t>
  </si>
  <si>
    <t>2027-01-25</t>
  </si>
  <si>
    <t xml:space="preserve"> TL13811 W2S </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</si>
  <si>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</si>
  <si>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</si>
  <si>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59</t>
  </si>
  <si>
    <t>2019-0253</t>
  </si>
  <si>
    <t>QS00465</t>
  </si>
  <si>
    <t>2025-11-01</t>
  </si>
  <si>
    <t>2027-05-01</t>
  </si>
  <si>
    <t xml:space="preserve">[CPUC Status] Project was Exempt from CPUC filing per GO-131D. </t>
  </si>
  <si>
    <t xml:space="preserve"> IV Shunt Reactor Replacement </t>
  </si>
  <si>
    <t xml:space="preserve">Replace the existing 500kV shunt reactors at Imperial Valley substation with spares at Miguel substation. </t>
  </si>
  <si>
    <t>Substation - Reactive Equipment</t>
  </si>
  <si>
    <t>41; 41; 41</t>
  </si>
  <si>
    <t>2021-2176</t>
  </si>
  <si>
    <t>QS00482</t>
  </si>
  <si>
    <t>2024-08-31</t>
  </si>
  <si>
    <t xml:space="preserve"> TL6920 Wood to Steel </t>
  </si>
  <si>
    <t>7 poles in HFTD 2 to be replaced from wood to steel, and a total of 0.584 miles of existing 1033.5 ACSR/AW to be reconductored.</t>
  </si>
  <si>
    <t>28, 28, 28, 28, 28</t>
  </si>
  <si>
    <t>2020-0286</t>
  </si>
  <si>
    <t>QS00504</t>
  </si>
  <si>
    <t>2023-08-02</t>
  </si>
  <si>
    <t xml:space="preserve"> TL690C Camp Pendleton Wood to Steel </t>
  </si>
  <si>
    <t>Camp Pendleton South, San Diego</t>
  </si>
  <si>
    <t xml:space="preserve">approx 8 poles in HFTD 2 to be replaced from wood to steel. A total of 0.57 miles of existing 1/0 CU and 336.4 ACSR/AW to be reconductored. </t>
  </si>
  <si>
    <t>2020-0273</t>
  </si>
  <si>
    <t>QS00496</t>
  </si>
  <si>
    <t>2024-06-28</t>
  </si>
  <si>
    <t>2024-10-31</t>
  </si>
  <si>
    <t>2024-07-31</t>
  </si>
  <si>
    <t xml:space="preserve"> Torrey Pines 12kV Breaker Replacements </t>
  </si>
  <si>
    <t xml:space="preserve">Replacing oil CB with Vacuum CB, removing Oil containment, upgrades to SL&amp;P, and PT. Upgrading (3) 69kV breakers. Aging equipment is going to be replaced to enhance substation reliability and reduce maintenance needs. Work is on-going. </t>
  </si>
  <si>
    <t>54;40;50;60;31; 50; 34; 33; 50; 54; 32; 53; 50</t>
  </si>
  <si>
    <t>2020-1014</t>
  </si>
  <si>
    <t>QS00429</t>
  </si>
  <si>
    <t>2023-10-31</t>
  </si>
  <si>
    <t>2025-07-29</t>
  </si>
  <si>
    <t xml:space="preserve"> Granite 12kV Breaker and Switchgear Replacements </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</si>
  <si>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</si>
  <si>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</si>
  <si>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</si>
  <si>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QS00430</t>
  </si>
  <si>
    <t>2024-02-14</t>
  </si>
  <si>
    <t>2028-12-31</t>
  </si>
  <si>
    <t>2028-10-19</t>
  </si>
  <si>
    <t xml:space="preserve"> Kettner Substation 69/12kV Rebuild Project </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</si>
  <si>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</si>
  <si>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43; 43; 26</t>
  </si>
  <si>
    <t>30MVA</t>
  </si>
  <si>
    <t>2014-00599-ZZ</t>
  </si>
  <si>
    <t>QS00478</t>
  </si>
  <si>
    <t>2022-11-28</t>
  </si>
  <si>
    <t>2024-09-20</t>
  </si>
  <si>
    <t xml:space="preserve"> Chicarita 12kV Replacements </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</si>
  <si>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</si>
  <si>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</si>
  <si>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</si>
  <si>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QS00548</t>
  </si>
  <si>
    <t>Tom Fries</t>
  </si>
  <si>
    <t xml:space="preserve"> Aviation Firefighting Program </t>
  </si>
  <si>
    <t xml:space="preserve">This is a new project. Purchase, equipping and initial training of a new Sikorsky S-70i Firehawk helicopter. </t>
  </si>
  <si>
    <t>QS00481</t>
  </si>
  <si>
    <t>2020-07-23</t>
  </si>
  <si>
    <t>2026-02-21</t>
  </si>
  <si>
    <t>[Reason Change -Service Date]  NA</t>
  </si>
  <si>
    <t>Willie Thomas</t>
  </si>
  <si>
    <t xml:space="preserve"> [Programmatic]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</si>
  <si>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</si>
  <si>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</si>
  <si>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Exempt  </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</si>
  <si>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</si>
  <si>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</si>
  <si>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</si>
  <si>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</si>
  <si>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[Reason for Change in In-Service Date] This is a program with a large quantity of projects included
</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</si>
  <si>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</si>
  <si>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</si>
  <si>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</si>
  <si>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</si>
  <si>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FIRM COVERED CONDUCTOR CWIP</t>
  </si>
  <si>
    <t>Cynthia Lopez</t>
  </si>
  <si>
    <t>[Programmatic]  Drone Assessments</t>
  </si>
  <si>
    <t xml:space="preserve">The project was focused on flying and assessing all structures within the HFTD (Tier 2) with the purpose of mitigating any fire-related issues.   </t>
  </si>
  <si>
    <t xml:space="preserve">HFTD Tier 2  </t>
  </si>
  <si>
    <t>QBL0124</t>
  </si>
  <si>
    <t>Jennifer Kaminsky</t>
  </si>
  <si>
    <t xml:space="preserve"> A DRONE INVESTIGATION ASSESSMENT</t>
  </si>
  <si>
    <t>Perform drone inspections for all of Tier 2 HFTD and higher risk WUI areas and complete follow-up repairs of any infractions identified.</t>
  </si>
  <si>
    <t>HFTD Tier 2 | HFTD Tier 3 | Higher Fire Threat Area</t>
  </si>
  <si>
    <t>True</t>
  </si>
  <si>
    <t xml:space="preserve">[NERC / WECC / CAISO Standard / Requirement / Contingency] Project description purpose is to "Repair damaged overhead electric distribution poles".  The requirement is based on GO 95 compliance and conformance with the Wildfire Mitigation Plan. 
[NERC / WECC / CAISO Standard / Requirement / Contingency 2 ]  ? 
[CPUC Status] NA 
</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</si>
  <si>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</si>
  <si>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</si>
  <si>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HFTD Tier 2 | Tier 3</t>
  </si>
  <si>
    <t>QBL0125</t>
  </si>
  <si>
    <t xml:space="preserve"> [CPUC Status] permitting may vary based on projects under this programmatic budget</t>
  </si>
  <si>
    <t>53551  AREL_T2_TL678_Z104100_W2S</t>
  </si>
  <si>
    <t>3 poles in HFTD 2 to be replaced from wood to steel, and a total of 0.247  miles of existing 636 ACSS/AW to be reconductored.  Structure #s:
 Z104100                636          ACSS/AW
 Z170670                636          ACSS/AW
 Z75086                  636          ACSS/AW
 ​​</t>
  </si>
  <si>
    <t>31, 36, 47, 54, 31, 54</t>
  </si>
  <si>
    <t>2020-0283</t>
  </si>
  <si>
    <t>2020-08-05; 2022-10-04</t>
  </si>
  <si>
    <t>2025-05-05</t>
  </si>
  <si>
    <t>2025-06-02</t>
  </si>
  <si>
    <t>53551  A 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</si>
  <si>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</si>
  <si>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29, 29, 69, 29, 19</t>
  </si>
  <si>
    <t>2020-0285</t>
  </si>
  <si>
    <t>2020-08-05; 2021-11-04; 2021-11-04</t>
  </si>
  <si>
    <t>2023-12-16</t>
  </si>
  <si>
    <t xml:space="preserve"> A REL_TL621_Z118874 W2S</t>
  </si>
  <si>
    <t>2 Poles in HFTD 2 to be replaced from wood to steel, and a total of 0.0356 miles (188’) of existing 1033.5 ACSR/AW. 
 Structure #:   
  Z118874     1033.5 ACSR/AW    Dead-End</t>
  </si>
  <si>
    <t>20</t>
  </si>
  <si>
    <t>2021-0382</t>
  </si>
  <si>
    <t>2021-04-07; 2022-10-04;2021-11-23</t>
  </si>
  <si>
    <t>2023-11-03</t>
  </si>
  <si>
    <t>2025-07-17</t>
  </si>
  <si>
    <t xml:space="preserve">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</si>
  <si>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</si>
  <si>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</si>
  <si>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Field Test Results</t>
  </si>
  <si>
    <t>[Utility Unique ID #1] 202000-119 , 202000-127 , 202000-131 , 202000-143 , 202000-144 , 202000-145 , 202000-159 , 202000-160 , 202000-161 , 202000-162</t>
  </si>
  <si>
    <t xml:space="preserve"> A REL_TL632_Z118872_W2S</t>
  </si>
  <si>
    <t>1 Pole in HFTD to be replaced from wood to steel</t>
  </si>
  <si>
    <t>2021-0387</t>
  </si>
  <si>
    <t>2021-11-23; 2021-04-07; 2022-10-04</t>
  </si>
  <si>
    <t>2023-08-15</t>
  </si>
  <si>
    <t>2026-03-27</t>
  </si>
  <si>
    <t>2026-07-17</t>
  </si>
  <si>
    <t xml:space="preserve"> A REL_TL6924 W2S 3 STRUCTURES</t>
  </si>
  <si>
    <t xml:space="preserve">4 Poles in HFTD 2 to be replaced from wood to steel, and a total of 0.1591 miles of existing 900 ACSS/AW. </t>
  </si>
  <si>
    <t>2021-0388</t>
  </si>
  <si>
    <t>2025-03-24</t>
  </si>
  <si>
    <t xml:space="preserve"> 53551 A W2S_T2_TL684_3 STRUCTURES</t>
  </si>
  <si>
    <t xml:space="preserve">3 poles in HFTD 2 to be replaced from wood to steel, and a total of 0.405  miles of existing 1033.5 ACSR/AW to be reconductored.  </t>
  </si>
  <si>
    <t>2020-0284</t>
  </si>
  <si>
    <t>2020-08-07; 2021-11-04</t>
  </si>
  <si>
    <t>2024-05-06</t>
  </si>
  <si>
    <t>2025-08-22</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</si>
  <si>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</si>
  <si>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</si>
  <si>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</si>
  <si>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 xml:space="preserve"> A 5 RELIABILITY (NON CMP) POLES</t>
  </si>
  <si>
    <t>Vista, California | San Diego County</t>
  </si>
  <si>
    <t>TL680B-Z218305, Z218306, Z218309, Z218301, Z115895. The project cost is being split by the ratio of Poles Purchase Cost/ requested by Jaser Marabeh</t>
  </si>
  <si>
    <t>[Utility Unique ID #1] TL612_TL604_Z279897 , TL680B Group-Fndtn</t>
  </si>
  <si>
    <t xml:space="preserve"> A REL_TL612_TL604_Z279897</t>
  </si>
  <si>
    <t>FTD to be replaced from wood to steel</t>
  </si>
  <si>
    <t>Age/Condition - Wood Pole Reframe</t>
  </si>
  <si>
    <t>2025-02-11; 2025-02-15</t>
  </si>
  <si>
    <t>21</t>
  </si>
  <si>
    <t>2021-0406</t>
  </si>
  <si>
    <t>2026-01-20</t>
  </si>
  <si>
    <t>2025-12-24</t>
  </si>
  <si>
    <t xml:space="preserve"> A CABLE TERMINATOR REPLACEMEN</t>
  </si>
  <si>
    <t>This project aims to inspect and replace aging and failing transmission terminations</t>
  </si>
  <si>
    <t>202000-506</t>
  </si>
  <si>
    <t>2020 | 2021 | 2023</t>
  </si>
  <si>
    <t>Brianne Nelson</t>
  </si>
  <si>
    <t xml:space="preserve">TRANSMISSION CONSTRUCTION &amp; MAINT </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</si>
  <si>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</si>
  <si>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</si>
  <si>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 xml:space="preserve"> A 2022 CIVIL ENG CAPITAL PROJECTS</t>
  </si>
  <si>
    <t>MULTIPLE</t>
  </si>
  <si>
    <t>The purpose of this work is mandatory Environmental Site restoration.</t>
  </si>
  <si>
    <t>FALSE | FALSE | TRUE</t>
  </si>
  <si>
    <t>2022-3126</t>
  </si>
  <si>
    <t>2021-02-03</t>
  </si>
  <si>
    <t xml:space="preserve"> Suncrest Tertiary Reactor Replacement </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</si>
  <si>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</si>
  <si>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</si>
  <si>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</si>
  <si>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QS00580</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</si>
  <si>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</si>
  <si>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</si>
  <si>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QBL0130</t>
  </si>
  <si>
    <t xml:space="preserve">[See Notes for NERC Compliance and contingency code, WECC Requirement (and the specific requirement)] 
 [Primary Purpose] Specialized Structure Access
</t>
  </si>
  <si>
    <t xml:space="preserve">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</si>
  <si>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</si>
  <si>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</si>
  <si>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</si>
  <si>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 xml:space="preserve">[Project Description - What] Initiative to provide safe access to the transmission structures where there is no proximate road access. 
 [Primary Purpose] Specialized Structure Access
</t>
  </si>
  <si>
    <t xml:space="preserve"> A HATS WORK RELEASE  2</t>
  </si>
  <si>
    <t>2022-2622</t>
  </si>
  <si>
    <t>2021-01-22</t>
  </si>
  <si>
    <t>2022-09-27</t>
  </si>
  <si>
    <t xml:space="preserve">[Project Description - What] Initiative to provide safe access to the transmission structures where there is no proximate road access.  
</t>
  </si>
  <si>
    <t xml:space="preserve">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</si>
  <si>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</si>
  <si>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</si>
  <si>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2024-10-21</t>
  </si>
  <si>
    <t>2025-07-31</t>
  </si>
  <si>
    <t xml:space="preserve">[Project Description - What]  Initiative to provide safe access to the transmission structures where there is no proximate road access. 
</t>
  </si>
  <si>
    <t>TL623C Wood to Steel Project</t>
  </si>
  <si>
    <t>This project replaces 4/0 B.S. CU Conductor. OH Full Rebuild approx. 1.30 miles from structure Z180990 to Z181008 South of Otay Valley Regional Park Removes 19 existing wood structures.</t>
  </si>
  <si>
    <t>System Design Upgrade</t>
  </si>
  <si>
    <t>2020-0327</t>
  </si>
  <si>
    <t>QS00634</t>
  </si>
  <si>
    <t>2026-10-29</t>
  </si>
  <si>
    <t>2026-10-08</t>
  </si>
  <si>
    <t>2026-12-28</t>
  </si>
  <si>
    <t xml:space="preserve">[Reason for Change in In-Service Date] In-service dates are estimated during preliminary design and permitting stages of a project; date shifted to reflect actual design and construction schedule. 
</t>
  </si>
  <si>
    <t>TL6905 Headquarters Point UG Customer Relocation</t>
  </si>
  <si>
    <t xml:space="preserve">Customer-requested relocation project.  Relocate portion of TL6905 from overhead to underground between Structure Z90429 and Z96512. Project is 100% reimbursable. </t>
  </si>
  <si>
    <t>35, 45, 44, 67, 35, 67</t>
  </si>
  <si>
    <t>2021-0341</t>
  </si>
  <si>
    <t>QS00624</t>
  </si>
  <si>
    <t>2026-03-16</t>
  </si>
  <si>
    <t>[Programmatic]  TCM Non</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</si>
  <si>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</si>
  <si>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</si>
  <si>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 xml:space="preserve">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</si>
  <si>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</si>
  <si>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</si>
  <si>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2023-02-06</t>
  </si>
  <si>
    <t>2023-07-12</t>
  </si>
  <si>
    <t xml:space="preserve"> [Age of Asset] Unable to provide age of asset for Programmatic budget codes
</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</si>
  <si>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</si>
  <si>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Non-HFTD</t>
  </si>
  <si>
    <t>[Utility Unique ID #1] 2022-3131 , 2022-2726 , 2022-3133
[Project Description - Action Taken (2)] This is a blanket work order for activities that are necessary to comply with Federal, State , and Local regulations. Multiple Options can be selected.</t>
  </si>
  <si>
    <t>Jennifer Hampson</t>
  </si>
  <si>
    <t xml:space="preserve"> [Programmatic]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</si>
  <si>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</si>
  <si>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Other - Status Quo</t>
  </si>
  <si>
    <t>Multiple Options</t>
  </si>
  <si>
    <t>69kV | 500kV</t>
  </si>
  <si>
    <t>69kV - 500kV</t>
  </si>
  <si>
    <t>QBL0141</t>
  </si>
  <si>
    <t>$96,000 per MW | CAISO GIDAP</t>
  </si>
  <si>
    <t xml:space="preserve">[Project Description - What] New &amp; Upgrade
[CPUC Status] Multiple Options  
[Project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</si>
  <si>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 xml:space="preserve"> G CAPTIVA STORAGE   PTO 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</si>
  <si>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</si>
  <si>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</si>
  <si>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2026-02-19</t>
  </si>
  <si>
    <t>2028-01-31</t>
  </si>
  <si>
    <t>2026-10-06</t>
  </si>
  <si>
    <t>Customer Action</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</si>
  <si>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[CPUC Status] Per SDG&amp;E Infrastructure Review Group Presentation on 8/21/2024, project exempt (IRG Determination: Exempt / No Advice Letter Required)  
Exempt</t>
  </si>
  <si>
    <t xml:space="preserve"> A SANDPIPER ENERGY STORAGE RNU</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</si>
  <si>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</si>
  <si>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2022-2757</t>
  </si>
  <si>
    <t>2024-10-07</t>
  </si>
  <si>
    <t>$19,200M | CAISO GIDAP</t>
  </si>
  <si>
    <t>66.66% | Sandpiper Energy Storage, LLC is developing two thirds of the project as part of its Generation Interconnection "Q1657 Sandpiper Storage" project.</t>
  </si>
  <si>
    <t>6% | 180</t>
  </si>
  <si>
    <t xml:space="preserve"> A Q1170 GATEWAY ENERGY STORAGE</t>
  </si>
  <si>
    <t>This project interconnected 250MW of battery storage at the Otay Mesa switchyard</t>
  </si>
  <si>
    <t>2018-1008</t>
  </si>
  <si>
    <t>2018-10-24</t>
  </si>
  <si>
    <t xml:space="preserve"> [CPUC Status] exempt </t>
  </si>
  <si>
    <t xml:space="preserve"> A 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</si>
  <si>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</si>
  <si>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33</t>
  </si>
  <si>
    <t>2019-0227</t>
  </si>
  <si>
    <t>2027-02-16</t>
  </si>
  <si>
    <t>2025-10-01</t>
  </si>
  <si>
    <t>2022-10-01</t>
  </si>
  <si>
    <t>2026-08-01</t>
  </si>
  <si>
    <t>$11000 | CAISO GIDAP</t>
  </si>
  <si>
    <t>58% | 11200</t>
  </si>
  <si>
    <t xml:space="preserve"> [Project Description - What] Generation Interconnection 
 [Project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</si>
  <si>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 xml:space="preserve">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</si>
  <si>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</si>
  <si>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2014-01105-ZZ</t>
  </si>
  <si>
    <t>2019-05-13</t>
  </si>
  <si>
    <t>2020-07-22</t>
  </si>
  <si>
    <t xml:space="preserve"> A SANU  MT LAGUNA WIND 2</t>
  </si>
  <si>
    <t>Boulder Brush, LLC Q1429 is a 400MW Generation Facility that requires a new 500kV swithcyard between Suncrest-Ocotillo 500kV line located on the Campo Indian Reservation in Mountain Empire in San Diego County, CA.</t>
  </si>
  <si>
    <t>2017-0140</t>
  </si>
  <si>
    <t>2029-06-29</t>
  </si>
  <si>
    <t xml:space="preserve">[CPUC Status] NA - On hold due to customer. 
</t>
  </si>
  <si>
    <t xml:space="preserve"> A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</si>
  <si>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</si>
  <si>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2020-0319</t>
  </si>
  <si>
    <t>2023</t>
  </si>
  <si>
    <t>2024-03-11</t>
  </si>
  <si>
    <t>2022-09-30</t>
  </si>
  <si>
    <t>2025-01-03</t>
  </si>
  <si>
    <t>66.66% | Peregrine Energy Storage, LLC is developing two thirds of the project as part of its "Q1670 Peregrine Storage" generation interconnection project</t>
  </si>
  <si>
    <t>64% | 2148</t>
  </si>
  <si>
    <t xml:space="preserve">[CPUC Status] NA
</t>
  </si>
  <si>
    <t xml:space="preserve"> A EAST FIELD ENERGY CNTR  PTO NU</t>
  </si>
  <si>
    <t>The project will connect to the PTOs transmission system via the Projects 230kV gen-tie emanation from the Otay Mesa substation.</t>
  </si>
  <si>
    <t>2024-3985</t>
  </si>
  <si>
    <t>2027-03-11</t>
  </si>
  <si>
    <t>2027-08-20</t>
  </si>
  <si>
    <t>2027-09-27</t>
  </si>
  <si>
    <t>5791000 | ISO</t>
  </si>
  <si>
    <t>99% | 4897</t>
  </si>
  <si>
    <t>Project in 30% design. Material lead time delays  
[CPUC Status] NA</t>
  </si>
  <si>
    <t xml:space="preserve"> A UMBRIEL IV REMOTE END</t>
  </si>
  <si>
    <t xml:space="preserve">New 500kV Switchyard supporting 1150 MW solar PV </t>
  </si>
  <si>
    <t>2.0</t>
  </si>
  <si>
    <t xml:space="preserve">Advice Letter </t>
  </si>
  <si>
    <t xml:space="preserve">To be filed </t>
  </si>
  <si>
    <t>2025</t>
  </si>
  <si>
    <t>2025-15-12</t>
  </si>
  <si>
    <t>126,500M</t>
  </si>
  <si>
    <t>100% | 126,500</t>
  </si>
  <si>
    <t xml:space="preserve"> A CAPTIVA STORAGE SANU</t>
  </si>
  <si>
    <t xml:space="preserve">San Juan Capistrano, CA </t>
  </si>
  <si>
    <t>New 138kV Switchyard to support 250MW BESS</t>
  </si>
  <si>
    <t>1.0</t>
  </si>
  <si>
    <t>3.06</t>
  </si>
  <si>
    <t>2014-01085-ZZ</t>
  </si>
  <si>
    <t>2024</t>
  </si>
  <si>
    <t>27500 | CAISO</t>
  </si>
  <si>
    <t>100% | 27500</t>
  </si>
  <si>
    <t xml:space="preserve"> [CPUC Status] NA </t>
  </si>
  <si>
    <t xml:space="preserve"> Twin Engine Medium Lift Helicopter </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</si>
  <si>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</si>
  <si>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</si>
  <si>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HFTD Tier 1 and 2</t>
  </si>
  <si>
    <t>QS00609</t>
  </si>
  <si>
    <t>2021-12-30</t>
  </si>
  <si>
    <t>2023-01-23</t>
  </si>
  <si>
    <t xml:space="preserve">[Primary Purpose] Initial investigation of potential projects.
[CPUC Fire Threat Zone/Rating] it is not a physical project and therefore does not have an HFTD location.
</t>
  </si>
  <si>
    <t xml:space="preserve"> TL684 Hamann Escondido </t>
  </si>
  <si>
    <t xml:space="preserve">Customer-requested relocation project.  Remove four (4) existing transmission structures on TL 684 and replace with three (3) pre-engineered structures to accommodate property development. Project is 100% reimbursable. </t>
  </si>
  <si>
    <t>38, 21, 43, 68, 43, 81</t>
  </si>
  <si>
    <t>2022-2704</t>
  </si>
  <si>
    <t>QS00659</t>
  </si>
  <si>
    <t>2025-10-20</t>
  </si>
  <si>
    <t>2026-02-23</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</si>
  <si>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</si>
  <si>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</si>
  <si>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</si>
  <si>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2021 | 2023 | 2024 | 2025</t>
  </si>
  <si>
    <t>Karla Dickey</t>
  </si>
  <si>
    <t xml:space="preserve"> Wildfire Resiliency Platform (WiNGS) </t>
  </si>
  <si>
    <t>Predictive analytic capabilities for WiNGS using Digital Twin technology</t>
  </si>
  <si>
    <t>QS00675</t>
  </si>
  <si>
    <t>2023-11-30</t>
  </si>
  <si>
    <t xml:space="preserve">[Wildfire Related] Provides insights that support wildfire risk assessment and planning.
[Primary Purpose] Initial investigation of potential projects.
</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</si>
  <si>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</si>
  <si>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</si>
  <si>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</si>
  <si>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 xml:space="preserve"> A EFD WMP IPREDICT</t>
  </si>
  <si>
    <t>Internal development of iPredict software platform</t>
  </si>
  <si>
    <t>2025-04-24</t>
  </si>
  <si>
    <t xml:space="preserve"> 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</si>
  <si>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</si>
  <si>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</si>
  <si>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</si>
  <si>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Miguel-Sycamore Canyon 230kV Loop-in Suncrest</t>
  </si>
  <si>
    <t>Mitigate the CAISO identified constraints consisting of the following: A 16-mile double circuit 230kV transmission line that will loop-in the existing TL23021 Miguel-Sycamore Canyon into Suncrest substation; and Install two new 500/230kV banks at Suncrest and Miguel Substations (one at each substation).</t>
  </si>
  <si>
    <t>https://www.caiso.com/Documents/ISO-Board-Approved-2022-2023-Transmission-Plan.pdf</t>
  </si>
  <si>
    <t xml:space="preserve">[NERC / WECC / CAISO Standard / Requirement / Contingency 2] NERC CIP Compliance and Security Assessments
</t>
  </si>
  <si>
    <t>[Programmatic]   A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</si>
  <si>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</si>
  <si>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</si>
  <si>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2029-12-31</t>
  </si>
  <si>
    <t xml:space="preserve"> [See Notes for NERC Compliance and contingency code, WECC Requirement (and the specific requirement)] 
 [CPUC Status]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</si>
  <si>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</si>
  <si>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</si>
  <si>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</si>
  <si>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 xml:space="preserve">[CPUC Status] Exempt 
 [Age of Asset] New asset installed, no previous asset
</t>
  </si>
  <si>
    <t xml:space="preserve"> A SERC_LNL_ARER XBOW WASA</t>
  </si>
  <si>
    <t>1. SERC- TRTU Replacement:
1.1 Design a full TRTU replacement per the 138kV/12kV TRTU EDS in panel 210.
1.2 Remove existing TRTU L&amp;N C300 RTU in panel 210.
1.3 Redo the annunciator in panel 100 per EDS-E-610.
1.4  Include XBOW RX-1524 device in TRTU panel.
2. SERC - DRTU  Replacement: 
2.1 Design a full DRTU replacement per the 138kV/12kV DRTU EDS in panel 110.
2.2.  Remove the SNW SR8550 in panel 110, and DRTU internal/external connections in panel 109.
2.3  Remove the SEL-2020, SMP-4, SPTSRV-4, Bell 202 modem, and satellite clock in panel 107.
3. WASA: 
3.1  Connect TL13847, TL13837 SEL-311C-1 port 5A to IT NETWORK SWITCH.
3.2.  Connect TL13847, TL13837 SEL-311C-1 IRIG port to the new SEL-2488 clock.
*Design to assess existing fiber optic cable tray and install new fiber cable tray between substation equipment installation location and IT/telecom racks as necessary</t>
  </si>
  <si>
    <t>Age/Condition - Replace Relays</t>
  </si>
  <si>
    <t>2025-4270</t>
  </si>
  <si>
    <t>2026-03-12</t>
  </si>
  <si>
    <t>[Programmatic] Customer Relocation Projects - Internally Funded</t>
  </si>
  <si>
    <t xml:space="preserve">Blanket budget code for internally funded customer relocation projects. </t>
  </si>
  <si>
    <t>QBL0166</t>
  </si>
  <si>
    <t xml:space="preserve"> [CPUC Status]  | NA 
 [Long Term Transmission Investment Plan Inclusion] new budget code created in late 2023.
[Age of Asset] Programmatic 
</t>
  </si>
  <si>
    <t xml:space="preserve"> A 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</si>
  <si>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</si>
  <si>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AL</t>
  </si>
  <si>
    <t>2027-01-29</t>
  </si>
  <si>
    <t xml:space="preserve">[See Notes for NERC Compliance and contingency code, WECC Requirement (and the specific requirement)] </t>
  </si>
  <si>
    <t xml:space="preserve"> A 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</si>
  <si>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</si>
  <si>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2022-09-23</t>
  </si>
  <si>
    <t>2022</t>
  </si>
  <si>
    <t>2025-04-14</t>
  </si>
  <si>
    <t>2025-05-09</t>
  </si>
  <si>
    <t>2025-06-09</t>
  </si>
  <si>
    <t>100% | 100</t>
  </si>
  <si>
    <t xml:space="preserve"> A 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</si>
  <si>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</si>
  <si>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2024-04-30</t>
  </si>
  <si>
    <t>2024-06-11</t>
  </si>
  <si>
    <t>2024-07-10</t>
  </si>
  <si>
    <t xml:space="preserve">[See Notes for NERC Compliance and contingency code, WECC Requirement (and the specific requirement)] 
[CPUC Status] NA </t>
  </si>
  <si>
    <t>Jordon Alvarez</t>
  </si>
  <si>
    <t xml:space="preserve"> BK30, BD: New Bank 30 </t>
  </si>
  <si>
    <t>This project will be installing a New Bank 30MVA at Border Substation to address an overload.</t>
  </si>
  <si>
    <t>3-578735</t>
  </si>
  <si>
    <t>QS00703</t>
  </si>
  <si>
    <t>2025-10-25</t>
  </si>
  <si>
    <t>[CPUC Status] NA</t>
  </si>
  <si>
    <t xml:space="preserve"> OT33, OT: New Sub Bank 33 </t>
  </si>
  <si>
    <t>Instatallion of 69/12kv substation transformer and assoicated equipment</t>
  </si>
  <si>
    <t>28 MVA</t>
  </si>
  <si>
    <t>3-684733</t>
  </si>
  <si>
    <t>QS00713</t>
  </si>
  <si>
    <t>2026-06-01</t>
  </si>
  <si>
    <t>2027-06-01</t>
  </si>
  <si>
    <t>[CPUC Status] No CPUC approval is required for this project</t>
  </si>
  <si>
    <t xml:space="preserve"> TL631 UG Cable Replacement Project </t>
  </si>
  <si>
    <t>Project Scope: Remove and replace failing underground cables on TL631 that have been in operation for ~30years. The hand-taped splices are exhibiting significant degradation with (3) cable failures in the past 3 years.</t>
  </si>
  <si>
    <t>31, 31</t>
  </si>
  <si>
    <t>2024-3662</t>
  </si>
  <si>
    <t>QS00731</t>
  </si>
  <si>
    <t>2024-02-26</t>
  </si>
  <si>
    <t>2024-08-30</t>
  </si>
  <si>
    <t>2024-04-21</t>
  </si>
  <si>
    <t xml:space="preserve"> 3 ohm Series Reactor on Sycamore Penasquitos 230 kV line </t>
  </si>
  <si>
    <t>Install a new 3 ohm series reactor on the Sycamore – Penasquitos 230 kV line; reactor will be installed at Sycamore Canyon Substation due to physical space requirements.</t>
  </si>
  <si>
    <t>$5 Mil - $10 Mil</t>
  </si>
  <si>
    <t>2022-3181</t>
  </si>
  <si>
    <t>QS00735</t>
  </si>
  <si>
    <t>2032-12-31</t>
  </si>
  <si>
    <t>2026-06-02</t>
  </si>
  <si>
    <t xml:space="preserve"> [See Notes for NERC Compliance and contingency code, WECC Requirement (and the specific requirement)] 
[CPUC Status] Substation Exemption 
 [Primary Purpose] Project identified in 2022-23 CAISO Transmission Planning Process</t>
  </si>
  <si>
    <t>Eric ALvarez</t>
  </si>
  <si>
    <t xml:space="preserve"> Rearrange TL23013 PQ OT and TL6959 PQ Mira Sorrento </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</si>
  <si>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</si>
  <si>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</si>
  <si>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2025-02-04; 2025-02-08</t>
  </si>
  <si>
    <t>$20 Mil - $30 Mil</t>
  </si>
  <si>
    <t>69 kV | 138 kV | 230 kV</t>
  </si>
  <si>
    <t>2020-0294</t>
  </si>
  <si>
    <t>QS00736</t>
  </si>
  <si>
    <t>2032-06-01</t>
  </si>
  <si>
    <t>[See Notes for NERC Compliance and contingency code, WECC Requirement (and the specific requirement)]  
[Primary Purpose] Project identified in 2022-23 CAISO Transmission Planning Process</t>
  </si>
  <si>
    <t>[Programmatic]  Transmission Failing Cable Replacement</t>
  </si>
  <si>
    <t>Replace underground cable systems targeting hand taped splices exhibiting degradation leading to failure.</t>
  </si>
  <si>
    <t>QBL0171</t>
  </si>
  <si>
    <t xml:space="preserve"> A UG TRANS CABLE REPL: 2024 SCOPE</t>
  </si>
  <si>
    <t>2024-4-15; 2024-09-12; 2024-04-15; 2022-09-28</t>
  </si>
  <si>
    <t>2024-3828</t>
  </si>
  <si>
    <t>2024-10-01</t>
  </si>
  <si>
    <t>2025-03-15</t>
  </si>
  <si>
    <t xml:space="preserve">[CPUC Status] Project was Exempt from CPUC filing per GO-131D. 
</t>
  </si>
  <si>
    <t xml:space="preserve"> TL680C MELROSE RECONDUCTOR </t>
  </si>
  <si>
    <t>Oceanside, San Marcos, Carlsbad, Vista, San Diego County</t>
  </si>
  <si>
    <t>Address the existing San Marcos Substation-Melrose Tap constraint by reconductoring the line to continuous/4 hour emergency rating of 102/234MVA</t>
  </si>
  <si>
    <t>Policy</t>
  </si>
  <si>
    <t>$15 Mil - $20 Mil</t>
  </si>
  <si>
    <t>2024-4035</t>
  </si>
  <si>
    <t>QS00743</t>
  </si>
  <si>
    <t>2028-02-01</t>
  </si>
  <si>
    <t>2026-10-02</t>
  </si>
  <si>
    <t xml:space="preserve"> TL13820 CHICARITA RECONDUCTOR </t>
  </si>
  <si>
    <t>San Diego &amp; Poway, San Diego County</t>
  </si>
  <si>
    <t>Reconductor the line to 250MVA from Chicarita Substation to Sycamore Canyon</t>
  </si>
  <si>
    <t>5.2</t>
  </si>
  <si>
    <t>2024-4036</t>
  </si>
  <si>
    <t>QS00744</t>
  </si>
  <si>
    <t xml:space="preserve"> North City West Substation </t>
  </si>
  <si>
    <t>Add two 28MVA transformer banks to the North City West Substation in order to address the overload conditions expected in 2029.</t>
  </si>
  <si>
    <t>2024-4028</t>
  </si>
  <si>
    <t>QS00748</t>
  </si>
  <si>
    <t xml:space="preserve"> A OCEANSIDE SUB PRELIM SUPPORT</t>
  </si>
  <si>
    <t xml:space="preserve">Preliminary support is for engineering feasibility studies for Oceanside Load Pocket. </t>
  </si>
  <si>
    <t>2025-4308</t>
  </si>
  <si>
    <t>QS00750</t>
  </si>
  <si>
    <t xml:space="preserve"> A BORDER SUB DESIGN</t>
  </si>
  <si>
    <t>The Border-San Ysidro substation project is part of the Electrification Capital Plan to ensure SDGE is meeting the growing load demands of the area. Projections show that a new substation and upgrades to existing substations will be required to mitigate OL conditions by 2031 and ensure reliability of the SDG&amp;E electrical system.</t>
  </si>
  <si>
    <t>69kV/12kV</t>
  </si>
  <si>
    <t>2024-4111</t>
  </si>
  <si>
    <t>QS00752</t>
  </si>
  <si>
    <t>2035-12-31</t>
  </si>
  <si>
    <t xml:space="preserve"> A PACIFIC BEACH ROSE CANYON ELE</t>
  </si>
  <si>
    <t>Increase overall capacity in the Pacific Beach - Rose Canyon load pocket to meet expected loads per the 10+ year forecast. Add at least 2 new banks (expansion of existing substation[s]) in the load pocket between Rose Canyon (RN), Pacific Beach (PB), and Clairemont (CM) subs within the PB-Rose Canyon load pocket; these banks are in addition to the 3rd bank EDP has assumed will be added to make Rose Canyon (RN) substation an ultimate 3-bank. Ultimate build-out of RN to 3-banks to be completed by 2029; expand to add at least one additional bank by 2031; expand to add second additional bank by 2032. Need-by dates of ultimate build-out and expansions based on maintaining load vs. capacity for load pocket below 85%.</t>
  </si>
  <si>
    <t>30 MVA</t>
  </si>
  <si>
    <t>QS00756</t>
  </si>
  <si>
    <t>Not yet filed</t>
  </si>
  <si>
    <t xml:space="preserve"> 53891 A PRELIM ENG. CORONADO ISL. RELIA</t>
  </si>
  <si>
    <t>Coronado, San Diego County</t>
  </si>
  <si>
    <t>Coronado Island Reliability Reinforcement:  To support in increased Coronado Island load forecast SDGE will install a new 69kV transmission line (TL6977) from downtown San Diego to Coronado Island and reconductor existing transmission  lines (TL650 and TL655). </t>
  </si>
  <si>
    <t>2025-4220</t>
  </si>
  <si>
    <t>QS00755</t>
  </si>
  <si>
    <t>2027-08-30, 2028-01-30, 2028-11-30</t>
  </si>
  <si>
    <t xml:space="preserve"> A SHADOWRIDGE SUB PH1</t>
  </si>
  <si>
    <t xml:space="preserve">This project aims to increase the load capacity in the Shadowridge area by constructing a new substation or upgrading existing substations. Recent forecasts indicate that the current load capacity in the Shadowridge area will not be insufficient to meet future demand. </t>
  </si>
  <si>
    <t>QS00758</t>
  </si>
  <si>
    <t>Not Yet Filed</t>
  </si>
  <si>
    <t xml:space="preserve"> A ESCONDIDO SUB PRELIM SUPPORT</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</si>
  <si>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business unit is considering adding capacity to transfer load to a new substation, rebuild, or expansion of existing substations.</t>
  </si>
  <si>
    <t xml:space="preserve">2024-4134 </t>
  </si>
  <si>
    <t>QS00759</t>
  </si>
  <si>
    <t>false</t>
  </si>
  <si>
    <t>2033-12-31</t>
  </si>
  <si>
    <t xml:space="preserve"> 53891 A PRELIM ENG. TRANS UG/OH IV SUB</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</si>
  <si>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</si>
  <si>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</si>
  <si>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BLM</t>
  </si>
  <si>
    <t>2035-06-30</t>
  </si>
  <si>
    <t xml:space="preserve"> BK33, PD: New Bank 33</t>
  </si>
  <si>
    <t>3-719759</t>
  </si>
  <si>
    <t>2025-08-15</t>
  </si>
  <si>
    <t>2028-6-1</t>
  </si>
  <si>
    <t>2027-08-16</t>
  </si>
  <si>
    <t xml:space="preserve"> [CPUC Status] No CPUC approval is required for this project </t>
  </si>
  <si>
    <t xml:space="preserve"> A APP WMP: JAM 69KV RBLD</t>
  </si>
  <si>
    <t>La Mesa, San Diego</t>
  </si>
  <si>
    <t>69/12kV Rebuild.</t>
  </si>
  <si>
    <t>2020-1016</t>
  </si>
  <si>
    <t>2022-04-14</t>
  </si>
  <si>
    <t>2026-12-23</t>
  </si>
  <si>
    <t xml:space="preserve">[CPUC Status]  NA </t>
  </si>
  <si>
    <t xml:space="preserve"> NVY 69KV RBLD T</t>
  </si>
  <si>
    <t>69/12kV Substation Rebuild</t>
  </si>
  <si>
    <t>0.34</t>
  </si>
  <si>
    <t>2020-2092</t>
  </si>
  <si>
    <t>2025-10-02</t>
  </si>
  <si>
    <t>2027-02-27</t>
  </si>
  <si>
    <t>2027-06-21</t>
  </si>
  <si>
    <t>100% | 30,763</t>
  </si>
  <si>
    <t>[Reason for Change in In-Service Date] Project placed on temporary hold while new specific budget was created.</t>
  </si>
  <si>
    <t xml:space="preserve"> Miguel Short Circuit Mitigation</t>
  </si>
  <si>
    <t>Miguel and Bay Boulevard Substation</t>
  </si>
  <si>
    <t>Reliability transmission solution to address the Short Circuit Duty(SCD) concerns at Miguel: Install a 3-Ohm series reactor on TL23026 Silvergate –Bay Boulevard 230 kV line which will be located at Bay Boulevard substation</t>
  </si>
  <si>
    <t>2025-4352</t>
  </si>
  <si>
    <t>2023-2024</t>
  </si>
  <si>
    <t>https://www.caiso.com/documents/iso-board-approved-2023-2024-transmission-plan.pdf</t>
  </si>
  <si>
    <t>2035-06-01</t>
  </si>
  <si>
    <t>2030-01-01</t>
  </si>
  <si>
    <t xml:space="preserve"> [See Notes for NERC Compliance and contingency code, WECC Requirement (and the specific requirement)]  
[CPUC Status] Exempt </t>
  </si>
  <si>
    <t xml:space="preserve"> Valley Center system Improvement</t>
  </si>
  <si>
    <t>Valley Center and Escondido</t>
  </si>
  <si>
    <t xml:space="preserve">Reliability transmission solution to address several thermal overloads in the 69kV transmission system around Valley Center area due to the charging/discharging of Valley Center energy storage. </t>
  </si>
  <si>
    <t>1</t>
  </si>
  <si>
    <t>69 kv</t>
  </si>
  <si>
    <t>2025-4354</t>
  </si>
  <si>
    <t>2028-06-01</t>
  </si>
  <si>
    <t>Christopher D Swartz</t>
  </si>
  <si>
    <t>CIS Envision</t>
  </si>
  <si>
    <t>Replacing SDG&amp;Es legacy Customer Information System (CIS) with a new SAP system</t>
  </si>
  <si>
    <t>QS00194</t>
  </si>
  <si>
    <t>CIS001</t>
  </si>
  <si>
    <t>Application 17-04-027</t>
  </si>
  <si>
    <t>2017-04-27</t>
  </si>
  <si>
    <t>2021-01-31</t>
  </si>
  <si>
    <t>2020 | 2021 | 2022 | 2025</t>
  </si>
  <si>
    <t xml:space="preserve"> A CNF WOOD TO STEEL: PRE CONST PR</t>
  </si>
  <si>
    <t>Design, procure materials for and construct CNF MSUP fire hardening program</t>
  </si>
  <si>
    <t xml:space="preserve">
2021-07-31</t>
  </si>
  <si>
    <t>2012-10-17</t>
  </si>
  <si>
    <t>2016</t>
  </si>
  <si>
    <t>2016-07-18</t>
  </si>
  <si>
    <t xml:space="preserve">  A GLENCLIFF SUB ADD 69KV BREAKER</t>
  </si>
  <si>
    <t>Add 69kV breaker, bus structure, control cabinets, associated wiring and construction in support thereof.</t>
  </si>
  <si>
    <t>37,37</t>
  </si>
  <si>
    <t>2020-08-20</t>
  </si>
  <si>
    <t>2021-03-31</t>
  </si>
  <si>
    <t xml:space="preserve">  A FBI_TL23027 TL23028 MS OT</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</si>
  <si>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</si>
  <si>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TSA ICON SOUTH BAY 230KV RING</t>
  </si>
  <si>
    <t>Installation of SEL ICON (Integrated Communications Optical Network) teleprotection equipment and associated commissioning.</t>
  </si>
  <si>
    <t>2024-03-01</t>
  </si>
  <si>
    <t>2025-07-09</t>
  </si>
  <si>
    <t xml:space="preserve"> DCRU PHASE IV - PACIFIC BEACH</t>
  </si>
  <si>
    <t>Upgrade of substation SL&amp;P system</t>
  </si>
  <si>
    <t>2021 | 2023</t>
  </si>
  <si>
    <t xml:space="preserve"> DCRU: ALPINE</t>
  </si>
  <si>
    <t>Upgrade of substation SL&amp;P system, installation of HVAC</t>
  </si>
  <si>
    <t>2025-07-01</t>
  </si>
  <si>
    <t> </t>
  </si>
  <si>
    <t>Category</t>
  </si>
  <si>
    <t>Sorting Order</t>
  </si>
  <si>
    <t>Data Field #</t>
  </si>
  <si>
    <t>Transmission Project Data Field</t>
  </si>
  <si>
    <t>Format</t>
  </si>
  <si>
    <t>Example</t>
  </si>
  <si>
    <t>Input Terms and Descriptions</t>
  </si>
  <si>
    <t>Column1</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</si>
  <si>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</si>
  <si>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</si>
  <si>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</si>
  <si>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 Example: 4</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</si>
  <si>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</si>
  <si>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</si>
  <si>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</si>
  <si>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</si>
  <si>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Include Project Name at date of report filing. Identify all prior names of the project and other names currently used in different venues, including the name as approved and included in the CAISO's TPP. Example: Manzanita Substation</t>
  </si>
  <si>
    <t>Number (decimal), separated by " | " for multiple locations; NA if no geolocation</t>
  </si>
  <si>
    <t>20.234 | 19.983</t>
  </si>
  <si>
    <t>Positive number indicates north of equator. Subject to redaction in the public data.</t>
  </si>
  <si>
    <t>Positive number indicates north of equator. Subject to redaction in the public data. Example: 20.234 | 19.983</t>
  </si>
  <si>
    <t xml:space="preserve"> -132.018 | -132.231</t>
  </si>
  <si>
    <t>Negative number indicates west of Prime Meridian. Subject to redaction in the public data.</t>
  </si>
  <si>
    <t>Negative number indicates west of Prime Meridian. Subject to redaction in the public data. Example:  -132.018 | -132.231</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</si>
  <si>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</si>
  <si>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</si>
  <si>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</si>
  <si>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</si>
  <si>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All Cities and Counties included in the scope of the project. Example: Berkeley, Alameda | Concord, Contra Costa</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</si>
  <si>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</si>
  <si>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</si>
  <si>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</si>
  <si>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General project overview: what, where, and why. Discuss all assets to be installed and include all capacities (MVA) and voltages (kV). Example: This project will repair the transmission line connecting 4th and Townsend to the East Northfork station which failed as consequence of  the 2019 San Clemente Hedge Fire.  Assets to be replaced include... at ....kV.</t>
  </si>
  <si>
    <t>Select text from drop-down menu</t>
  </si>
  <si>
    <t xml:space="preserve">Transmission line (new, reconductor, relocation), substation (breaker, transformer relay protection), etc. </t>
  </si>
  <si>
    <t>Transmission line (new, reconductor, relocation), substation (breaker, transformer relay protection), etc.  Example: Substation - Circuit Breaker</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</si>
  <si>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</si>
  <si>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</si>
  <si>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Example: Upgrade/Retrofit</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</si>
  <si>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</si>
  <si>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</si>
  <si>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</si>
  <si>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Identify all other projects (Unique ID #1) in the spreadsheet that this project depends on and/or whose construction will be bundled with this project. Example: 235435 | 432787</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</si>
  <si>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</si>
  <si>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Example: Reliability</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</si>
  <si>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</si>
  <si>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</si>
  <si>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 Example: Age/Condition - Anti Climb Guards</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</si>
  <si>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</si>
  <si>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</si>
  <si>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</si>
  <si>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 Example: CIP-006</t>
  </si>
  <si>
    <t>Date, formatted YYYY-MM-DD if text; NA if not yet inspected</t>
  </si>
  <si>
    <t>Specific date when the last inspection of the asset being repaired, replaced, or upgraded occurred.</t>
  </si>
  <si>
    <t>Specific date when the last inspection of the asset being repaired, replaced, or upgraded occurred. Example: 2019-12-10</t>
  </si>
  <si>
    <t>Age in years from original in-service date of the asset being repaired, replaced, or upgraded.</t>
  </si>
  <si>
    <t>Age in years from original in-service date of the asset being repaired, replaced, or upgraded. Example: 12</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</si>
  <si>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</si>
  <si>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</si>
  <si>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Types of analyses that have been performed on the asset being repaired, replaced, or upgraded (e.g., load flow, short circuit, corrosion).  List all field test and results that indicated the need for the project, and include inspector ID, when available in the "Notes" data field. Example: Load Flow</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</si>
  <si>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</si>
  <si>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</si>
  <si>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Example: Dynamic System Analysis </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</si>
  <si>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</si>
  <si>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 Example: $5 Mil - $10 Mil</t>
  </si>
  <si>
    <t>CPUC Fire Threat
Zone/Rating</t>
  </si>
  <si>
    <t>Text String,  separated by " | " as necessary, or NA</t>
  </si>
  <si>
    <t xml:space="preserve">Indicate whether the project is located in Tier1, Tier 2, or Tier 3 of CPUC's High Fire-Threat Districts (HFTD) or Zone 1 in CalFire/USFS High Hazard Zone (HHZ). </t>
  </si>
  <si>
    <t>Indicate whether the project is located in Tier1, Tier 2, or Tier 3 of CPUC's High Fire-Threat Districts (HFTD) or Zone 1 in CalFire/USFS High Hazard Zone (HHZ).  Example: HFTD Tier 2</t>
  </si>
  <si>
    <t>Boolean, TRUE or FALSE, divided by " | "</t>
  </si>
  <si>
    <t>Indicate whether the project is 1. related to repairing wildfire damage, 2. a measure identified in the Wildfire Mitigation Plan, or 3. is related to wildfire in some other way. If #3, please explain in the "Notes" data field.</t>
  </si>
  <si>
    <t>Indicate whether the project is 1. related to repairing wildfire damage, 2. a measure identified in the Wildfire Mitigation Plan, or 3. is related to wildfire in some other way. If #3, please explain in the "Notes" data field. Example: TRUE | TRUE | FALSE</t>
  </si>
  <si>
    <t>Boolean, TRUE or FALSE</t>
  </si>
  <si>
    <t xml:space="preserve">Indicate whether the project is a proposed mitigation measure in the utility's Risk Assessment &amp; Mitigation Phase (RAMP). </t>
  </si>
  <si>
    <t>Indicate whether the project is a proposed mitigation measure in the utility's Risk Assessment &amp; Mitigation Phase (RAMP).  Example: TRUE</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</si>
  <si>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</si>
  <si>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</si>
  <si>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</si>
  <si>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Environmental factors in the project's location that may affect the length of the asset's service life. Example: Project exists in CA Building Climate Zone 3 which presents a high risk of accelerated oxidation or steel structures due to coastal humidity and salt exposure.</t>
  </si>
  <si>
    <t>Project Manager</t>
  </si>
  <si>
    <t>Text String: Last, First</t>
  </si>
  <si>
    <t>Doe, John</t>
  </si>
  <si>
    <t>Person in charge of the implementation of this project for the Utility.</t>
  </si>
  <si>
    <t>Person in charge of the implementation of this project for the Utility. Example: Doe, John</t>
  </si>
  <si>
    <t>Transmission Project Size
(length in miles)</t>
  </si>
  <si>
    <t>Number (decimal), or NA</t>
  </si>
  <si>
    <t>Miles of transmission power lines included in the project.</t>
  </si>
  <si>
    <t>Miles of transmission power lines included in the project. Example: 42.66</t>
  </si>
  <si>
    <t>Substation Project
Footprint (acres)</t>
  </si>
  <si>
    <t>Acres of substation footprint included in the project.</t>
  </si>
  <si>
    <t>Acres of substation footprint included in the project. Example: 12.25</t>
  </si>
  <si>
    <t>Transmission Voltage
Level (kV)</t>
  </si>
  <si>
    <t>Number (whole), or NA</t>
  </si>
  <si>
    <t>Use kV for transmission power lines ratings.</t>
  </si>
  <si>
    <t>Use kV for transmission power lines ratings. Example: 230</t>
  </si>
  <si>
    <t>Text String,  or NA if unrelated</t>
  </si>
  <si>
    <t>115kV</t>
  </si>
  <si>
    <t>Use MVA and/or kV for substations.</t>
  </si>
  <si>
    <t>Use MVA and/or kV for substations. Example: 115kV</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</si>
  <si>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</si>
  <si>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</si>
  <si>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Using the Utility's prioritization ranking. If multiple metrics are used to prioritize projects, please include a separate data subfield for each. (Sub-columns can be created to accommodate multiple or tiered ranking methodologies.) Example: 1</t>
  </si>
  <si>
    <t>Work Order (Utility Unique ID #1)</t>
  </si>
  <si>
    <t>Text String</t>
  </si>
  <si>
    <t>Most specific  (PG&amp;E = Planning Order, SCE = SCE ID, SDG&amp;E = Project ID)</t>
  </si>
  <si>
    <t>Most specific  (PG&amp;E = Planning Order, SCE = SCE ID, SDG&amp;E = Project ID) Example: 78493</t>
  </si>
  <si>
    <t>Project ID (Utility Unique ID #2)</t>
  </si>
  <si>
    <t>Less specific (PG&amp;E = T.dot, SCE = Capital Work Breakdown Structure, SDG&amp;E = Budget Code)</t>
  </si>
  <si>
    <t>Less specific (PG&amp;E = T.dot, SCE = Capital Work Breakdown Structure, SDG&amp;E = Budget Code) Example: 432</t>
  </si>
  <si>
    <t>Budget Code (Utility Unique ID #3)</t>
  </si>
  <si>
    <t>Least specific  (PG&amp;E = Major Work Category, SCE = Project Identification Number , SDG&amp;E = NA)</t>
  </si>
  <si>
    <t>Least specific  (PG&amp;E = Major Work Category, SCE = Project Identification Number , SDG&amp;E = NA) Example: 92</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</si>
  <si>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</si>
  <si>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</si>
  <si>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</si>
  <si>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If any of the Unique IDs above changed at any time, please note the date of change and the former ID. Example: 2022-05-05 | NA | NA | 78322</t>
  </si>
  <si>
    <t>Utility/CAISO Approval and FERC Rate Cases</t>
  </si>
  <si>
    <t>Boolean: TRUE or FALSE</t>
  </si>
  <si>
    <t>"TRUE" if the Utility self-approved the project; "FALSE" if not.</t>
  </si>
  <si>
    <t>"TRUE" if the Utility self-approved the project; "FALSE" if not. Example: TRUE</t>
  </si>
  <si>
    <t>Year of Internal Utility
Approval</t>
  </si>
  <si>
    <t>Date, formatted YYYY-MM-DD, or NA</t>
  </si>
  <si>
    <t xml:space="preserve"> 2022-01-02 </t>
  </si>
  <si>
    <t>If utility has approved the project, insert first year of internal approval. If not insert "NA."</t>
  </si>
  <si>
    <t xml:space="preserve">If utility has approved the project, insert first year of internal approval. If not insert "NA." Example:  2022-01-02 </t>
  </si>
  <si>
    <t>Annual Capital Operating Plan Process</t>
  </si>
  <si>
    <t>If utility has approved the project, insert utility approval process for which a description has been provided to the CPUC and Stakeholders.</t>
  </si>
  <si>
    <t>If utility has approved the project, insert utility approval process for which a description has been provided to the CPUC and Stakeholders. Example: Annual Capital Operating Plan Process</t>
  </si>
  <si>
    <t>Year, formatted YYYY</t>
  </si>
  <si>
    <t>The year in which the project was first included in the utility's long-term transmission investment plan.</t>
  </si>
  <si>
    <t>The year in which the project was first included in the utility's long-term transmission investment plan. Example: 2022</t>
  </si>
  <si>
    <t>Year, formatted YYYY, or NA</t>
  </si>
  <si>
    <t xml:space="preserve">Insert the year when approved by CAISO.  If not a CAISO-approved project, insert "NA". </t>
  </si>
  <si>
    <t>Insert the year when approved by CAISO.  If not a CAISO-approved project, insert "NA".  Example: 2019</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</si>
  <si>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</si>
  <si>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</si>
  <si>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Please indicate with "TRUE" if any part of this project was subject to the competitive solicitation process in the TPP.  In the "Notes" section briefly describe any portion of the project awarded to another developer and how it relates to the project in this Spreadsheet. Example: FALSE</t>
  </si>
  <si>
    <t>Years, formatted YYYY and separated by " | ", or NA</t>
  </si>
  <si>
    <t>Indicate years in which the project was considered in the TPP.  If considered in year(s) prior to CAISO approval, please indicate all years.</t>
  </si>
  <si>
    <t>Indicate years in which the project was considered in the TPP.  If considered in year(s) prior to CAISO approval, please indicate all years. Example: 2020 | 2021</t>
  </si>
  <si>
    <t>If not yet considered in the CAISO TPP, indicate the year when it is expected to be considered in the CAISO TPP.</t>
  </si>
  <si>
    <t>If not yet considered in the CAISO TPP, indicate the year when it is expected to be considered in the CAISO TPP. Example: 2025</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</si>
  <si>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</si>
  <si>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</si>
  <si>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</si>
  <si>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</si>
  <si>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Insert active hyperlink to any TPP where project was considered, including years in which the project was not approved. Example: http://www.caiso.com/Documents/BoardApproved-2017-2018_Transmission_Plan.pdf</t>
  </si>
  <si>
    <t>Generator Interconnection and Deliverability Allocation Procedures (GIDAP) Related</t>
  </si>
  <si>
    <t xml:space="preserve">Please indicate with TRUE or FALSE whether this transmission project is a transmission network upgrade related to generator interconnection(s). </t>
  </si>
  <si>
    <t>Please indicate with TRUE or FALSE whether this transmission project is a transmission network upgrade related to generator interconnection(s).  Example: TRUE</t>
  </si>
  <si>
    <t>See drop-down menu for options.  Include one of the following: Expected PEA Completion, PEA Deemed Complete, CEQA Draft Published, CEQA Final Published, Final Certified, TBD, Other [See Notes], or NA.</t>
  </si>
  <si>
    <t>See drop-down menu for options.  Include one of the following: Expected PEA Completion, PEA Deemed Complete, CEQA Draft Published, CEQA Final Published, Final Certified, TBD, Other [See Notes], or NA. Example: Final Certified</t>
  </si>
  <si>
    <t xml:space="preserve"> 2020-03-29</t>
  </si>
  <si>
    <t>Include the date that corresponds with the CEQA status.</t>
  </si>
  <si>
    <t>Include the date that corresponds with the CEQA status. Example:  2020-03-29</t>
  </si>
  <si>
    <t>Examples include: IS/ND, IS/MND, EIR, Exempted, Other, or NA (If "Other,"  include explanation in the "Notes" data field.).</t>
  </si>
  <si>
    <t>Examples include: IS/ND, IS/MND, EIR, Exempted, Other, or NA (If "Other,"  include explanation in the "Notes" data field.). Example: EIR</t>
  </si>
  <si>
    <t>EIS</t>
  </si>
  <si>
    <t>Examples include: EIS, EA, Categorical Exclusion, Other, or NA (If "Other,"  include explanation in the "Notes" data field.).</t>
  </si>
  <si>
    <t>Examples include: EIS, EA, Categorical Exclusion, Other, or NA (If "Other,"  include explanation in the "Notes" data field.). Example: EIS</t>
  </si>
  <si>
    <t xml:space="preserve">Examples include: CPUC, SWRCB, CSLC, NA etc.  If more than two options are required, enter each, pipe-delimited. </t>
  </si>
  <si>
    <t>Examples include: CPUC, SWRCB, CSLC, NA etc.  If more than two options are required, enter each, pipe-delimited.  Example: CPUC</t>
  </si>
  <si>
    <t>USFS</t>
  </si>
  <si>
    <t xml:space="preserve">Examples include: USFS, NA etc.  If more than two options are required, enter each, pipe-delimited. </t>
  </si>
  <si>
    <t>Examples include: USFS, NA etc.  If more than two options are required, enter each, pipe-delimited.  Example: USFS</t>
  </si>
  <si>
    <t>PG&amp;E AL 2355-E</t>
  </si>
  <si>
    <t>NOC Advice Letter (AL), Application for 851, PTC, CPCN, or NA. If an AL, include the number. If an Application, include number.</t>
  </si>
  <si>
    <t>NOC Advice Letter (AL), Application for 851, PTC, CPCN, or NA. If an AL, include the number. If an Application, include number. Example: PG&amp;E AL 2355-E</t>
  </si>
  <si>
    <t>2022-04-08</t>
  </si>
  <si>
    <t xml:space="preserve">The year filed at the CPUC or insert "Not yet filed" with the expected filing date. </t>
  </si>
  <si>
    <t>The year filed at the CPUC or insert "Not yet filed" with the expected filing date.  Example: 2022-04-08</t>
  </si>
  <si>
    <t>Indicate "Approved", "Rejected", "To be Filed", "Filed and Under Review," "Other," or "NA" (If "Other" or "NA", include explanation in the "Notes" data field.).</t>
  </si>
  <si>
    <t>Indicate "Approved", "Rejected", "To be Filed", "Filed and Under Review," "Other," or "NA" (If "Other" or "NA", include explanation in the "Notes" data field.). Example: Approved</t>
  </si>
  <si>
    <t>CPUC Status: Year</t>
  </si>
  <si>
    <t>Insert the year this CPUC Status was determined.</t>
  </si>
  <si>
    <t>Insert the year this CPUC Status was determined. Example: 2019</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</si>
  <si>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</si>
  <si>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</si>
  <si>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Example: Construction (10%-25%)</t>
  </si>
  <si>
    <t>The current Estimate Class in AACE International's Cost Estimate Classification System at the time this data spreadsheet is provided.</t>
  </si>
  <si>
    <t>The current Estimate Class in AACE International's Cost Estimate Classification System at the time this data spreadsheet is provided. Example: 3</t>
  </si>
  <si>
    <t>The date on which construction began or is expected to begin.</t>
  </si>
  <si>
    <t>The date on which construction began or is expected to begin. Example: 45809</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</si>
  <si>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</si>
  <si>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</si>
  <si>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</si>
  <si>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What was the expected in-service date when the project was first approved by the CAISO? If not a CAISO-approved project, provide the expected in-service date when the project was approved internally by the Utility. Example: 45809</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</si>
  <si>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</si>
  <si>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</si>
  <si>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</si>
  <si>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At the time the data was extracted from the Utility’s Database(s) as provided in Section 2.1.5 of the Transmission Project Review Process Description.  Projects without identified in-service dates that are "Operative as Installed" should be identified as "OAI". Example: 2021-01-01 | NA
2021-01-01 |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</si>
  <si>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</si>
  <si>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</si>
  <si>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Example: Customer Action</t>
  </si>
  <si>
    <t xml:space="preserve">For projects with costs expected to go into rate base in the current rate year or in the following rate year at FERC, please indicate with "TRUE."  If there will be no additions to rate base in either year, indicate with "FALSE." </t>
  </si>
  <si>
    <t>For projects with costs expected to go into rate base in the current rate year or in the following rate year at FERC, please indicate with "TRUE."  If there will be no additions to rate base in either year, indicate with "FALSE."  Example: TRUE</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</si>
  <si>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</si>
  <si>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</si>
  <si>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</si>
  <si>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</si>
  <si>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</si>
  <si>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Forecast cost or forecast cost range for Utility Unique ID #2, i.e., the totality of the project, at the earliest of
CAISO, CPUC, or utility internal approval. Example: 2100 | 2500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</si>
  <si>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</si>
  <si>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</si>
  <si>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</si>
  <si>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 Example: 2500 | CAISO TPP</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</si>
  <si>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</si>
  <si>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</si>
  <si>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 Example: 78</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</si>
  <si>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</si>
  <si>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</si>
  <si>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Please include separate columns for each of the previous five (5) years and one for actual expenditures for the
current year as of the date the data was extracted.   If these expenditures do not include overheads and AFUDC, please provide those year-by-year. Example: 12</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</si>
  <si>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</si>
  <si>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</si>
  <si>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</si>
  <si>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</si>
  <si>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</si>
  <si>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</si>
  <si>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</si>
  <si>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</si>
  <si>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</si>
  <si>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</si>
  <si>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For the current year and four (4) future years, provide the year-by-year fully-loaded forecast capital expenditures
for the project. Please include separate columns for each year.  If these expenditures do not include overheads and AFUDC, please provide those year-by-year. Example: 4650</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</si>
  <si>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</si>
  <si>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</si>
  <si>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</si>
  <si>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</si>
  <si>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</si>
  <si>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</si>
  <si>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</si>
  <si>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</si>
  <si>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</si>
  <si>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</si>
  <si>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</si>
  <si>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</si>
  <si>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Total amount of money that has been spent so far for the project through the last calendar year. Example: 2350</t>
  </si>
  <si>
    <t>Accrued Overhead</t>
  </si>
  <si>
    <t>If the capital expenditures provided in Data Field #57 do not include Overhead, please provide the accrued
Overhead through the last calendar year.</t>
  </si>
  <si>
    <t>If the capital expenditures provided in Data Field #57 do not include Overhead, please provide the accrued
Overhead through the last calendar year. Example: 12</t>
  </si>
  <si>
    <t>Accrued AFUDC</t>
  </si>
  <si>
    <t>If the capital expenditures provided in Data Field #57 do not include AFUDC, please provide the accrued AFUDC
through the last calendar year.</t>
  </si>
  <si>
    <t>If the capital expenditures provided in Data Field #57 do not include AFUDC, please provide the accrued AFUDC
through the last calendar year. Example: 0</t>
  </si>
  <si>
    <t>Years, separated by " | ", or NA</t>
  </si>
  <si>
    <t>2023 | 2024 | 2025 | 2026 | 2027</t>
  </si>
  <si>
    <t>Insert ALL rate years when any costs of this project went - or are forecast to go - into FERC jurisdictional
transmission rate base.</t>
  </si>
  <si>
    <t>Insert ALL rate years when any costs of this project went - or are forecast to go - into FERC jurisdictional
transmission rate base. Example: 2023 | 2024 | 2025 | 2026 | 2027</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</si>
  <si>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</si>
  <si>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</si>
  <si>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</si>
  <si>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Insert the year(s) and actual dollars added to FERC jursidictional transmission rate base on the project for each of the four prior years and the present year. This should include additional costs added to rate base in years after operation first occurred. Example: 500000</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</si>
  <si>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</si>
  <si>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</si>
  <si>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</si>
  <si>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</si>
  <si>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</si>
  <si>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</si>
  <si>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</si>
  <si>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</si>
  <si>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</si>
  <si>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</si>
  <si>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</si>
  <si>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</si>
  <si>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</si>
  <si>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</si>
  <si>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</si>
  <si>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</si>
  <si>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</si>
  <si>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</si>
  <si>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(or actual cost) of project implemented by outside developer, as opposed to the incumbent utility.  If there is a project being developed by a non-incumbent utility that relates to this project, please indicate the name of the project as approved in the CAISO TPP. Example: 33.33% | "SuperPower LLC is developing a third of the project as part of its "TransValley Electrification" project.  See http://....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</si>
  <si>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</si>
  <si>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</si>
  <si>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</si>
  <si>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</si>
  <si>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If the project is work requested by others or customer-driven, what percentage of the projects costs has been - or is expected to be - passed onto ratepayers? If the dollar amount being passed onto ratepayers is fixed, then this number can be expressed as a dollar amount. Example: 25.00% | 2300
35% | NA
NA | 50000</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</si>
  <si>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</si>
  <si>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</si>
  <si>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</si>
  <si>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</si>
  <si>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The Cost-to-Benefit ratio.  If the Utility's Cost-Benefit analysis related to its Risk-Based Decision-Making
Framework (RDF) has not already been included in the "Utility Prioritization Ranking" data field above, please include it here. Example: 25.00% | EnergyRank</t>
  </si>
  <si>
    <t>Test Strings, separated by " | ", or NA</t>
  </si>
  <si>
    <t>Abandoned Plant | CWIP</t>
  </si>
  <si>
    <t>List any project-specific transmission incentives granted under any FERC Orders.</t>
  </si>
  <si>
    <t>List any project-specific transmission incentives granted under any FERC Orders. Example: Abandoned Plant | CWIP</t>
  </si>
  <si>
    <t>Percentage of Cost in
High Voltage TAC</t>
  </si>
  <si>
    <t>Percentage to two decimals</t>
  </si>
  <si>
    <t>Insert % of project cost recovered in the high-voltage TAC.</t>
  </si>
  <si>
    <t>Insert % of project cost recovered in the high-voltage TAC. Example: 0.2305</t>
  </si>
  <si>
    <t>Percentage of Cost in Low
Voltage TAC</t>
  </si>
  <si>
    <t>Insert % of project cost recovered in the low-voltage TAC.</t>
  </si>
  <si>
    <t>Insert % of project cost recovered in the low-voltage TAC. Example: 0</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</si>
  <si>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</si>
  <si>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</si>
  <si>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</si>
  <si>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</si>
  <si>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Any additionally requested information or other needed details about the project that were not otherwise covered. Example: [CEQA/NEPA Document Type] Form  STD762
[CPUC Status] Approved in part following bifurcation. Details indeterminate as of 5/6/2024.  Expected update and clarification by 8/1/2024.</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</si>
  <si>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</si>
  <si>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</si>
  <si>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</si>
  <si>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</si>
  <si>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</si>
  <si>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</si>
  <si>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</si>
  <si>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</si>
  <si>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</si>
  <si>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</si>
  <si>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</si>
  <si>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</si>
  <si>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</si>
  <si>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</si>
  <si>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</si>
  <si>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</si>
  <si>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Lifecycle Replacement Analysis</t>
  </si>
  <si>
    <t>$0 Mil  – $1 Mil</t>
  </si>
  <si>
    <t>IS/ND</t>
  </si>
  <si>
    <t xml:space="preserve">Yes </t>
  </si>
  <si>
    <t xml:space="preserve">NERC BAL Compliance </t>
  </si>
  <si>
    <t>Wires - Location/Route Alternative</t>
  </si>
  <si>
    <t>$1 Mil - $2 Mil</t>
  </si>
  <si>
    <t>PEA Deemed Complete</t>
  </si>
  <si>
    <t>No</t>
  </si>
  <si>
    <t>Age/Condition - 230/115/70/60 kV Relay Replacement</t>
  </si>
  <si>
    <t>NERC FAC Compliance</t>
  </si>
  <si>
    <t>$2 Mil - $3 Mil</t>
  </si>
  <si>
    <t>Administratively Complete and Under Technical Review</t>
  </si>
  <si>
    <t>Clearances</t>
  </si>
  <si>
    <t>Age/Condition - 500 kV Relay Replacement</t>
  </si>
  <si>
    <t>WECC Audit Findings</t>
  </si>
  <si>
    <t>Short Circuit Duty Analysis</t>
  </si>
  <si>
    <t>$3 Mil -$5 Mil</t>
  </si>
  <si>
    <t>CEQA Final Published</t>
  </si>
  <si>
    <t xml:space="preserve">Material </t>
  </si>
  <si>
    <t>Substation - Line Termination</t>
  </si>
  <si>
    <t>Address Results of Power Flow Analysis</t>
  </si>
  <si>
    <t>Protection Studies</t>
  </si>
  <si>
    <t>Rejected</t>
  </si>
  <si>
    <t>Address Results of Protection Studies</t>
  </si>
  <si>
    <t>Age/Condition - Insulator Replacement - Steel</t>
  </si>
  <si>
    <t>Advice Letter Filed and In-Process</t>
  </si>
  <si>
    <t>Age/Condition - Insulator Replacement - Wood</t>
  </si>
  <si>
    <t>Age/Condition - Raptor Protection - Steel</t>
  </si>
  <si>
    <t>NA [See Notes]</t>
  </si>
  <si>
    <t>Substation - Modular Protection and Automation Control Building</t>
  </si>
  <si>
    <t>Economic</t>
  </si>
  <si>
    <t>$30 Mil - $40 Mil</t>
  </si>
  <si>
    <t>Non-Wires - Large Scale Energy Alternative</t>
  </si>
  <si>
    <t>$40 Mil - $50 Mil</t>
  </si>
  <si>
    <t>Age/Condition - Replace 500 kV Breakers</t>
  </si>
  <si>
    <t>Non-Wires - System DER Alternative</t>
  </si>
  <si>
    <t>$50 Mil – $75 Mil</t>
  </si>
  <si>
    <t>Age/Condition - Replace 500 kV Transformers</t>
  </si>
  <si>
    <t>$75 Mil – $100 Mil</t>
  </si>
  <si>
    <t>Age/Condition - Replace Boardwalks</t>
  </si>
  <si>
    <t>Other - Deferral</t>
  </si>
  <si>
    <t>$100 Mil – $125 Mil</t>
  </si>
  <si>
    <t>Abandoned</t>
  </si>
  <si>
    <t>$125 Mil - $150 Mil</t>
  </si>
  <si>
    <t>Emergency Event</t>
  </si>
  <si>
    <t>Age/Condition - Replace Civil Structures</t>
  </si>
  <si>
    <t>$150 Mil - $175 Mil</t>
  </si>
  <si>
    <t>Other - Cybersecurity</t>
  </si>
  <si>
    <t>Age/Condition - Replace Conductor</t>
  </si>
  <si>
    <t>$175 Mil - $200 Mil</t>
  </si>
  <si>
    <t>Other - Remedial Action Scheme/Special Protection Scheme</t>
  </si>
  <si>
    <t>$200 Mil - $250 Mil</t>
  </si>
  <si>
    <t>$250 Mil – $300 Mil</t>
  </si>
  <si>
    <t>Other - Environmental</t>
  </si>
  <si>
    <t xml:space="preserve">Other [See Notes] </t>
  </si>
  <si>
    <t>Age/Condition - Replace Other T-Line Equipment</t>
  </si>
  <si>
    <t>$300 Mil - $350 Mil</t>
  </si>
  <si>
    <t>Age/Condition - Replace Reactors, Age/Condition - Replace Relays</t>
  </si>
  <si>
    <t>$350 Mil – $400 Mil</t>
  </si>
  <si>
    <t>$400 Mil - $500 Mil</t>
  </si>
  <si>
    <t>Age/Condition - Replace SCADA/RTU</t>
  </si>
  <si>
    <t>Over $500 Mil</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</si>
  <si>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</si>
  <si>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</si>
  <si>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</si>
  <si>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</si>
  <si>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</si>
  <si>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</si>
  <si>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</si>
  <si>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</si>
  <si>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</si>
  <si>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</si>
  <si>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</si>
  <si>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</si>
  <si>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</si>
  <si>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</si>
  <si>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</si>
  <si>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</si>
  <si>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Targeted Line Reliability</t>
  </si>
  <si>
    <t>T-Line Emergency</t>
  </si>
  <si>
    <t>Tools, Transformer Addition/Replacement</t>
  </si>
  <si>
    <t>Underground Emergency</t>
  </si>
  <si>
    <t>Voltage Conversion</t>
  </si>
  <si>
    <t xml:space="preserve">Voltage Support  </t>
  </si>
  <si>
    <t>Row</t>
  </si>
  <si>
    <t>ProjectName(R)</t>
  </si>
  <si>
    <t>Latitude(R)</t>
  </si>
  <si>
    <t>Longitude(R)</t>
  </si>
  <si>
    <t>Location(R)</t>
  </si>
  <si>
    <t>Project Description((R)</t>
  </si>
  <si>
    <t>Last Inspection(R)</t>
  </si>
  <si>
    <t>Last-Inspection(na)</t>
  </si>
  <si>
    <t>Age of Asset(R)</t>
  </si>
  <si>
    <t>Types of Analyses(R)</t>
  </si>
  <si>
    <t>Alternative Solutions and Costs - Solutions(R)</t>
  </si>
  <si>
    <t>Alternative Solutions and Costs - Costs(R)</t>
  </si>
  <si>
    <t>CPUC Fire Threat Zone/Rating(R)</t>
  </si>
  <si>
    <t>Other Environmental Factors(R)</t>
  </si>
  <si>
    <t>Manager</t>
  </si>
  <si>
    <t>Email</t>
  </si>
  <si>
    <t>Transmission Project Size (length in miles)(R)</t>
  </si>
  <si>
    <t>Substation Project Footprint (acres)(R)</t>
  </si>
  <si>
    <t>Utility Prioritization Ranking(R)</t>
  </si>
  <si>
    <t>Utility Unique ID #1(Most Specific)(R)</t>
  </si>
  <si>
    <t>Utility Unique ID #2 (Less Specific)(R)</t>
  </si>
  <si>
    <t>Internal (Child Work Orders)</t>
  </si>
  <si>
    <t>Utility Unique ID #3 (Least Specific)(R)</t>
  </si>
  <si>
    <t>Utility Approval(R)</t>
  </si>
  <si>
    <t>Long term Transmission Investment Plan Inclusion(R)</t>
  </si>
  <si>
    <t>CAISO Year(R)</t>
  </si>
  <si>
    <t>TPP Phase 3(R)</t>
  </si>
  <si>
    <t>Year(s) when considered in CAISO TPP(R)</t>
  </si>
  <si>
    <t>Year when expected to be considered in CAISO TPP(R)</t>
  </si>
  <si>
    <t>Link to TPP where project has been considered, approved, and/or expected to be considered(R)</t>
  </si>
  <si>
    <t>CEQA Status(R)</t>
  </si>
  <si>
    <t>CEQA Status - Date(R)</t>
  </si>
  <si>
    <t>CEQA Status - Date(R)(ifna)</t>
  </si>
  <si>
    <t>CEQA Document Type(R)</t>
  </si>
  <si>
    <t>NEPA Document Type(R)</t>
  </si>
  <si>
    <t>CEQA Lead Agency(R)</t>
  </si>
  <si>
    <t>NEPA Lead Agency(R)</t>
  </si>
  <si>
    <t>CPUC Filing Type(R)</t>
  </si>
  <si>
    <t>CPUC Date Filed(R)</t>
  </si>
  <si>
    <t>CPUC Status(R)</t>
  </si>
  <si>
    <t>CPUC Status - Year(R)</t>
  </si>
  <si>
    <t>Construction Start Date(R)</t>
  </si>
  <si>
    <t>Original Planned In-Service Date(R)</t>
  </si>
  <si>
    <t>Current Projected or Actual In-Service Date(R)</t>
  </si>
  <si>
    <t>Original Projected Cost or Cost Range ($000)(R)</t>
  </si>
  <si>
    <t>Current Projected Total or Actual Final Cost ($000)(R)</t>
  </si>
  <si>
    <t>Projected Capital Expenditures 2024 ($000)</t>
  </si>
  <si>
    <t>Projected Capital Expenditures 2025 ($000)</t>
  </si>
  <si>
    <t>Construction Work in Progress ($000)(R)</t>
  </si>
  <si>
    <t>FERC: Year(s)(R)</t>
  </si>
  <si>
    <t xml:space="preserve"> 2020 Actual FERC Dollars Ratebased ($000) </t>
  </si>
  <si>
    <t>Percentage of Bid(R)</t>
  </si>
  <si>
    <t>FERC Incentives(R)</t>
  </si>
  <si>
    <t>Percentage of Cost in High Voltage TAC(R)</t>
  </si>
  <si>
    <t>Percentage of Cost in Low Voltage TAC(R)</t>
  </si>
  <si>
    <t xml:space="preserve"> Notes</t>
  </si>
  <si>
    <t>__PowerAppsId__</t>
  </si>
  <si>
    <t>BussinesUnit</t>
  </si>
  <si>
    <t>NewPorject</t>
  </si>
  <si>
    <t>TLCodes</t>
  </si>
  <si>
    <t>Environment Internal Notes</t>
  </si>
  <si>
    <t>Enrique Type of Analysis Notes</t>
  </si>
  <si>
    <t>Enrique Alternative Solutions and Costs - cost Notes</t>
  </si>
  <si>
    <t>Rich CEQA_Status_Notes</t>
  </si>
  <si>
    <t>Rich_CEQA_DocType_Notes</t>
  </si>
  <si>
    <t>Rich_Nepa_DocType_Notes</t>
  </si>
  <si>
    <t>Robert Guillen_Progress</t>
  </si>
  <si>
    <t>David Delgado_Progress</t>
  </si>
  <si>
    <t>Jaysen Gaines_Progress</t>
  </si>
  <si>
    <t>Enrique Romero_Progress</t>
  </si>
  <si>
    <t>Rich Quasarano_Progress</t>
  </si>
  <si>
    <t>Connor Witt_Progress</t>
  </si>
  <si>
    <t>LandyCui_Progress</t>
  </si>
  <si>
    <t>Sandra_Progress</t>
  </si>
  <si>
    <t xml:space="preserve">FALSE | FALSE | FALSE </t>
  </si>
  <si>
    <t>PI:Multiple</t>
  </si>
  <si>
    <t>PWO:QB00012</t>
  </si>
  <si>
    <t>CWO:Programmatic</t>
  </si>
  <si>
    <t>BC:103</t>
  </si>
  <si>
    <t>UA:TRUE</t>
  </si>
  <si>
    <t>BU:SED</t>
  </si>
  <si>
    <t>Codes:NA</t>
  </si>
  <si>
    <t>PI:NA</t>
  </si>
  <si>
    <t>CWO:5629252</t>
  </si>
  <si>
    <t>Codes:TL50002</t>
  </si>
  <si>
    <t>Louis White</t>
  </si>
  <si>
    <t>PI:2019-1024</t>
  </si>
  <si>
    <t>CWO:5981498</t>
  </si>
  <si>
    <t>Codes:Kyocera</t>
  </si>
  <si>
    <t>CWO:5983189</t>
  </si>
  <si>
    <t>CWO:5984909</t>
  </si>
  <si>
    <t>2020</t>
  </si>
  <si>
    <t>Cameron Palmer</t>
  </si>
  <si>
    <t>PI:2019-1018</t>
  </si>
  <si>
    <t>CWO:5987512</t>
  </si>
  <si>
    <t>Codes:ML</t>
  </si>
  <si>
    <t>PI:2020-1008</t>
  </si>
  <si>
    <t>CWO:5987522</t>
  </si>
  <si>
    <t>Codes:BB</t>
  </si>
  <si>
    <t>Paul Cervantes</t>
  </si>
  <si>
    <t>CWO:5987524</t>
  </si>
  <si>
    <t>A IID, SRP, APS SDGE SHARE ON CAP</t>
  </si>
  <si>
    <t>Marissa Heater</t>
  </si>
  <si>
    <t>PI:</t>
  </si>
  <si>
    <t>CWO:5064709</t>
  </si>
  <si>
    <t>UA:FALSE</t>
  </si>
  <si>
    <t>Codes:</t>
  </si>
  <si>
    <t>A SAN ONOFRE RTV COATING</t>
  </si>
  <si>
    <t>CWO:5446241</t>
  </si>
  <si>
    <t>PWO:QB00008</t>
  </si>
  <si>
    <t>BC:104</t>
  </si>
  <si>
    <t xml:space="preserve">[Primary Purpose] Easement review
</t>
  </si>
  <si>
    <t>BU:NA</t>
  </si>
  <si>
    <t>CWO:2301606</t>
  </si>
  <si>
    <t>Codes:TL682</t>
  </si>
  <si>
    <t>PWO:QB00145</t>
  </si>
  <si>
    <t>CWO:2595786</t>
  </si>
  <si>
    <t>BC:106</t>
  </si>
  <si>
    <t>Submit to ETS using Screening Tool</t>
  </si>
  <si>
    <t>PWO:QB00028</t>
  </si>
  <si>
    <t>BC:206</t>
  </si>
  <si>
    <t>CWO:2595730</t>
  </si>
  <si>
    <t>PWO:Multiple</t>
  </si>
  <si>
    <t>CWO:NA</t>
  </si>
  <si>
    <t>BC:925</t>
  </si>
  <si>
    <t>[Age of Asset]  IT Projects no asset 
[Project Description - Action Taken (2)]  new replace, upgrade/retrofit
[Primary Purpose] multiple choices - Age/end of life and reliability</t>
  </si>
  <si>
    <t xml:space="preserve">PI:T000021 </t>
  </si>
  <si>
    <t xml:space="preserve">PWO:P000021 </t>
  </si>
  <si>
    <t>CWO:3441272;3591996</t>
  </si>
  <si>
    <t>2020-9-30</t>
  </si>
  <si>
    <t xml:space="preserve">  2023-02-07 for 3441272 &amp; 2024-6-30 for 3591996</t>
  </si>
  <si>
    <t xml:space="preserve">PI:T19005  </t>
  </si>
  <si>
    <t xml:space="preserve">PWO:PT19005  </t>
  </si>
  <si>
    <t>CWO:3502679</t>
  </si>
  <si>
    <t>2019-3-15</t>
  </si>
  <si>
    <t xml:space="preserve">  2022-12-31</t>
  </si>
  <si>
    <t xml:space="preserve">PI:T19027  </t>
  </si>
  <si>
    <t xml:space="preserve">PWO:PT19027  </t>
  </si>
  <si>
    <t>CWO:3502775</t>
  </si>
  <si>
    <t xml:space="preserve">  2019-7-28</t>
  </si>
  <si>
    <t xml:space="preserve">PI:T17027  </t>
  </si>
  <si>
    <t xml:space="preserve">PWO:PT17027  </t>
  </si>
  <si>
    <t>CWO:3502505;5981446</t>
  </si>
  <si>
    <t xml:space="preserve">  2017-11-15</t>
  </si>
  <si>
    <t>Various</t>
  </si>
  <si>
    <t xml:space="preserve">PI:T18018  </t>
  </si>
  <si>
    <t xml:space="preserve">PWO:PT18018  </t>
  </si>
  <si>
    <t>CWO:3502600;3502864</t>
  </si>
  <si>
    <t xml:space="preserve">  2018-9-27</t>
  </si>
  <si>
    <t xml:space="preserve">[Age of Asset]  IT Projects no asset 
[Project Description - What] Reliability and Wildfire Mitigation 
</t>
  </si>
  <si>
    <t>2026 SDGE Network Refresh</t>
  </si>
  <si>
    <t xml:space="preserve">PI:BD23021 </t>
  </si>
  <si>
    <t>PWO:NA</t>
  </si>
  <si>
    <t>CWO:NA(project not started)</t>
  </si>
  <si>
    <t xml:space="preserve">  2026-1-15</t>
  </si>
  <si>
    <t>PWO:QBL0003</t>
  </si>
  <si>
    <t>BC:1145</t>
  </si>
  <si>
    <t>CWO:5981499</t>
  </si>
  <si>
    <t>2021</t>
  </si>
  <si>
    <t xml:space="preserve"> A GLENCLIFF SUB ADD 69KV BREAKER</t>
  </si>
  <si>
    <t>Sherwin Edra</t>
  </si>
  <si>
    <t>PI:2014-01091-ZZ</t>
  </si>
  <si>
    <t>CWO:5981937</t>
  </si>
  <si>
    <t>2022 | 2024</t>
  </si>
  <si>
    <t>Codes:GC</t>
  </si>
  <si>
    <t>PI:2020-1020</t>
  </si>
  <si>
    <t>CWO:5983049</t>
  </si>
  <si>
    <t>Codes:MHT</t>
  </si>
  <si>
    <t>PI:2019-1022</t>
  </si>
  <si>
    <t>CWO:5983053</t>
  </si>
  <si>
    <t xml:space="preserve">[Age of Asset] DISCONNECTS NO ASSET ID  
[Reason for Change in In-Service Date] In-service dates are estimated during preliminary design and permitting stages of a project; date shifted to reflect actual design and construction schedule. </t>
  </si>
  <si>
    <t>Codes:PQ</t>
  </si>
  <si>
    <t>CWO:5983087</t>
  </si>
  <si>
    <t>Codes:Kearney</t>
  </si>
  <si>
    <t xml:space="preserve"> A MIGUEL 500 BATTERY BANK 12KV SH</t>
  </si>
  <si>
    <t xml:space="preserve">Remove existing 500 station battery banks 1 &amp;2, install new EC-17M, 670AH Batteries with 150ADC chargers, remove existing 12kv reactor bank 1,2 &amp;3, install new reactor bank 1,2 &amp;3 </t>
  </si>
  <si>
    <t>Bruno Velosa</t>
  </si>
  <si>
    <t>500KV</t>
  </si>
  <si>
    <t>CWO:5983122</t>
  </si>
  <si>
    <t xml:space="preserve">[Age of Asset] BATTERY BANK NO ASSET ID 
</t>
  </si>
  <si>
    <t>Richard Torres</t>
  </si>
  <si>
    <t>PI:2020-1038</t>
  </si>
  <si>
    <t>CWO:5983268</t>
  </si>
  <si>
    <t xml:space="preserve">[Age of Asset] DISCONNECTS NO ASSEST ID
</t>
  </si>
  <si>
    <t>Codes:SS</t>
  </si>
  <si>
    <t>PI:2014-00582-ZZ</t>
  </si>
  <si>
    <t>CWO:5984479</t>
  </si>
  <si>
    <t xml:space="preserve"> [Age of Asset] TL position added.  No assets replaced.   
</t>
  </si>
  <si>
    <t>Codes:ME</t>
  </si>
  <si>
    <t>Ezzeddeen Gazali</t>
  </si>
  <si>
    <t>PI:2014-00247-ZZ</t>
  </si>
  <si>
    <t>CWO:5987309</t>
  </si>
  <si>
    <t xml:space="preserve">
[Age of Asset] RELAY NO ASSET ID 
</t>
  </si>
  <si>
    <t>Codes:MY</t>
  </si>
  <si>
    <t>PI:2014-01096-ZZ</t>
  </si>
  <si>
    <t>CWO:5987430</t>
  </si>
  <si>
    <t>Codes:MR</t>
  </si>
  <si>
    <t>Eric Parker</t>
  </si>
  <si>
    <t>PI:2020-1025</t>
  </si>
  <si>
    <t>CWO:5987525</t>
  </si>
  <si>
    <t xml:space="preserve">
[Age of Asset] Static Mast replacement.  No Asset IDs.  
</t>
  </si>
  <si>
    <t>Codes:IV</t>
  </si>
  <si>
    <t>Paul Cervantes/Bruno Velosa</t>
  </si>
  <si>
    <t>CWO:5987526</t>
  </si>
  <si>
    <t>[Primary Purpose] This is a site development project.
[Age of Asset] Site development project.  No Asset IDs  
[Current Projected or Actual In-Service Date] No date, it is a construction project. No asset.</t>
  </si>
  <si>
    <t>PI:2021-2457</t>
  </si>
  <si>
    <t>CWO:5987539</t>
  </si>
  <si>
    <t>PI:2020-1030</t>
  </si>
  <si>
    <t>CWO:5987542</t>
  </si>
  <si>
    <t>Codes:SYO</t>
  </si>
  <si>
    <t>FALSE  | FALSE | FALSE</t>
  </si>
  <si>
    <t>PI:2024-4121</t>
  </si>
  <si>
    <t>CWO:5645274</t>
  </si>
  <si>
    <t>Codes:TP</t>
  </si>
  <si>
    <t>Potentially Exempt, needs Score Card Review</t>
  </si>
  <si>
    <t>PI:2019-1021</t>
  </si>
  <si>
    <t>CWO:5987540</t>
  </si>
  <si>
    <t>Codes:FE</t>
  </si>
  <si>
    <t>PWO:QBL0001</t>
  </si>
  <si>
    <t>BC:3171</t>
  </si>
  <si>
    <t xml:space="preserve">[Types of Analyses] Information security 
</t>
  </si>
  <si>
    <t>PI:2022-2912</t>
  </si>
  <si>
    <t>CWO:5231592</t>
  </si>
  <si>
    <t xml:space="preserve">[Types of Analyses] Information security
</t>
  </si>
  <si>
    <t>BU:SPACE</t>
  </si>
  <si>
    <t>Codes:SO</t>
  </si>
  <si>
    <t>CWO:5517095 ; 5983041 ; 5983036</t>
  </si>
  <si>
    <t>CWO:5983041</t>
  </si>
  <si>
    <t>PI:2020-2045</t>
  </si>
  <si>
    <t>CWO:5983391</t>
  </si>
  <si>
    <t>CWO:5986263</t>
  </si>
  <si>
    <t xml:space="preserve">6/12/2020 | 1/18/2021 |  9/4/2020 |  9/8/2020 |  9/8/2020 |  2/24/2022 |  9/1/2020 |  9/1/2020 |  1/21/2022 |  9/1/2020 |  1/21/2022 |  12/7/2021 | 02/14/2023  | 12/08/2022  | 01/25/2023  | 08/01/2022  | 03/20/2024  | 01/27/2023  | 03/28/2024  | 02/15/2024  | 03/31/2025 </t>
  </si>
  <si>
    <t xml:space="preserve"> [Utility Unique ID #1] 2019-2110 , 2014-00646-ZZ , 2022-2975 , 2021-2053 , 2021-2130 , 2021-2134 , 2023-3594 , 2023-3600 , 2023-3602 , 2021-2023 , 2021-2022 , 2021-2020 , 2021-2024 , 2021-2461 , 2022-2919 , 2022-2927 , 2021-2131 , 2020-2051 , 2020-2080 , 2021-2003 , 2021-2315</t>
  </si>
  <si>
    <t>Codes:Telegraph Canyon</t>
  </si>
  <si>
    <t>CWO:5987338</t>
  </si>
  <si>
    <t>Codes:MS</t>
  </si>
  <si>
    <t>PI:2014-01115-ZZ</t>
  </si>
  <si>
    <t>CWO:5987463 ; 5987464</t>
  </si>
  <si>
    <t>2021 | 2022 | 2025</t>
  </si>
  <si>
    <t>BU:TL</t>
  </si>
  <si>
    <t>Codes:BE</t>
  </si>
  <si>
    <t>A BERNARDO SUBST. RPL TL689 RLY</t>
  </si>
  <si>
    <t>CWO:5987463</t>
  </si>
  <si>
    <t>Codes:TL689</t>
  </si>
  <si>
    <t>A ESCONDIDO SUB RPL TL689 RLY RPL</t>
  </si>
  <si>
    <t>CWO:5987464</t>
  </si>
  <si>
    <t>Codes:ES</t>
  </si>
  <si>
    <t>PI:2014-00047-ZZ</t>
  </si>
  <si>
    <t>PWO:QS00008</t>
  </si>
  <si>
    <t>CWO:2590251; 2129252; 2129251; 2129250; 2989080; 2590250; 5986060; 2650692</t>
  </si>
  <si>
    <t>BC:5253</t>
  </si>
  <si>
    <t>Codes:Ocean Ranch Sub</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</si>
  <si>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</si>
  <si>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 xml:space="preserve">FALSE | TRUE  | FALSE </t>
  </si>
  <si>
    <t>PI:2014-00068-ZZ</t>
  </si>
  <si>
    <t>PWO:QS00009</t>
  </si>
  <si>
    <t>CWO:2455441; 2651832; 2652278;5983836; 5983837</t>
  </si>
  <si>
    <t>BC:6129</t>
  </si>
  <si>
    <t>4/25/2016</t>
  </si>
  <si>
    <t>Codes:Talega Substation and Capistrano Substation</t>
  </si>
  <si>
    <t xml:space="preserve">Evan Richards </t>
  </si>
  <si>
    <t>PWO:QBL0024</t>
  </si>
  <si>
    <t>BC:6254</t>
  </si>
  <si>
    <t>A ES SPARE 69KV &amp; 138KV CBS</t>
  </si>
  <si>
    <t>Evan Richards</t>
  </si>
  <si>
    <t>CWO:5394913</t>
  </si>
  <si>
    <t>PWO:QBL0025</t>
  </si>
  <si>
    <t>BC:7144</t>
  </si>
  <si>
    <t>PI:2019-4010</t>
  </si>
  <si>
    <t>CWO:2809450</t>
  </si>
  <si>
    <t>Codes:TL674</t>
  </si>
  <si>
    <t>PI:2014-00482-ZZ</t>
  </si>
  <si>
    <t>CWO:2988521</t>
  </si>
  <si>
    <t xml:space="preserve">
[Project Description - What] Fiber infrastructure build supports all transmission, distribution, substation, and IT equipment/systems for operations, metering, and real time monitoring. 
</t>
  </si>
  <si>
    <t>Codes:TL23011</t>
  </si>
  <si>
    <t>PI:2014-00957-ZZ</t>
  </si>
  <si>
    <t>CWO:2989076</t>
  </si>
  <si>
    <t>Codes:TL13809</t>
  </si>
  <si>
    <t>PI:2009-00015-ZZ</t>
  </si>
  <si>
    <t>CWO:2991031</t>
  </si>
  <si>
    <t>Codes:TL23027 / 23028</t>
  </si>
  <si>
    <t>PI:2014-00430-ZZ</t>
  </si>
  <si>
    <t>CWO:2903680</t>
  </si>
  <si>
    <t>Codes:TL654</t>
  </si>
  <si>
    <t>PI:2010-00005-ZZ</t>
  </si>
  <si>
    <t>CWO:2903770</t>
  </si>
  <si>
    <t>[Reason for Change in In-Service Date] This project has been suspended due to CPUC budget cuts.</t>
  </si>
  <si>
    <t>Codes:TL608</t>
  </si>
  <si>
    <t>PI:2010-00007-ZZ</t>
  </si>
  <si>
    <t>CWO:2903920</t>
  </si>
  <si>
    <t>Codes:TL621</t>
  </si>
  <si>
    <t>PI:2014-00465-ZZ</t>
  </si>
  <si>
    <t>CWO:2988522</t>
  </si>
  <si>
    <t>Codes:TL697</t>
  </si>
  <si>
    <t>A FIBER BUILD TL6973 DM NCW</t>
  </si>
  <si>
    <t>PI:2020-4032</t>
  </si>
  <si>
    <t>CWO:2144356</t>
  </si>
  <si>
    <t>A TL608 STRUCTURE RPL GRP 1</t>
  </si>
  <si>
    <t>PI:2022-3097</t>
  </si>
  <si>
    <t>CWO:2310931</t>
  </si>
  <si>
    <t>A FBI TL652/653 METRO STATION F</t>
  </si>
  <si>
    <t>PI:2021-2218</t>
  </si>
  <si>
    <t>CWO:2511657</t>
  </si>
  <si>
    <t>Codes:TL652/653</t>
  </si>
  <si>
    <t>A TL674 RANCHO SANTA FE TO Z12322</t>
  </si>
  <si>
    <t>PI:2019-4013</t>
  </si>
  <si>
    <t>CWO:2652406</t>
  </si>
  <si>
    <t>A TL652 STATION F WABASH F R4</t>
  </si>
  <si>
    <t>PI:2010-00003-ZZ</t>
  </si>
  <si>
    <t>CWO:2903690</t>
  </si>
  <si>
    <t>Codes:TL652</t>
  </si>
  <si>
    <t>A TL607 WABASH STREAMVIEW R4</t>
  </si>
  <si>
    <t>PI:2010-00004-ZZ</t>
  </si>
  <si>
    <t>CWO:2903700</t>
  </si>
  <si>
    <t>A TL 624 JAMACHA EL CAJON R4</t>
  </si>
  <si>
    <t>PI:2010-00010-ZZ</t>
  </si>
  <si>
    <t>CWO:2904080</t>
  </si>
  <si>
    <t>Codes:JM</t>
  </si>
  <si>
    <t>A TL 600 ROSECANYON CLAIRE R3</t>
  </si>
  <si>
    <t>PI:2010-00012-ZZ</t>
  </si>
  <si>
    <t>CWO:2904220</t>
  </si>
  <si>
    <t>A TL674 STURCTURE RPL GRP 1</t>
  </si>
  <si>
    <t>PI:2022-2988</t>
  </si>
  <si>
    <t>CWO:2912229</t>
  </si>
  <si>
    <t>A TL680B MELROSE MELROSE T R6</t>
  </si>
  <si>
    <t>PI:2015-00015-ZZ</t>
  </si>
  <si>
    <t>CWO:2984439</t>
  </si>
  <si>
    <t xml:space="preserve">FALSE | FALSE | TRUE </t>
  </si>
  <si>
    <t>PI:2014-00061-ZZ</t>
  </si>
  <si>
    <t>PWO:QS00025</t>
  </si>
  <si>
    <t>CWO:2652399;2902140</t>
  </si>
  <si>
    <t>BC:9132</t>
  </si>
  <si>
    <t xml:space="preserve">  2011-12-08</t>
  </si>
  <si>
    <t xml:space="preserve">[CPUC Filing Type] Advice Letter/ Project Completed with temporary shoo-fly configuration 
[Reason for Change in In-Service Date] Permitting, design and construction delays. Construction delays, County of Valley Center issuing a stop work order due to dewatering issues.
</t>
  </si>
  <si>
    <t>Codes:TL6926</t>
  </si>
  <si>
    <t>PI:2017-0120</t>
  </si>
  <si>
    <t>PWO:QS00026</t>
  </si>
  <si>
    <t>CWO:2902100</t>
  </si>
  <si>
    <t>BC:9137</t>
  </si>
  <si>
    <t xml:space="preserve">  2019-09-04</t>
  </si>
  <si>
    <t>Codes:TL649</t>
  </si>
  <si>
    <t>PI:2018-0161</t>
  </si>
  <si>
    <t>PWO:QS00027</t>
  </si>
  <si>
    <t>CWO:2984061</t>
  </si>
  <si>
    <t>BC:9142</t>
  </si>
  <si>
    <t xml:space="preserve">  2023-10-05</t>
  </si>
  <si>
    <t>Codes:TL686</t>
  </si>
  <si>
    <t>PI:2011-00017-ZZ</t>
  </si>
  <si>
    <t>PWO:QS00343</t>
  </si>
  <si>
    <t>CWO:2982360;2982361;2982362;5984523</t>
  </si>
  <si>
    <t>BC:9153</t>
  </si>
  <si>
    <t>Codes:TL676</t>
  </si>
  <si>
    <t>Jacob ReProgrammatic</t>
  </si>
  <si>
    <t>PI:2022-2943</t>
  </si>
  <si>
    <t>PWO:QBL0061</t>
  </si>
  <si>
    <t>CWO:5827576</t>
  </si>
  <si>
    <t>BC:9170</t>
  </si>
  <si>
    <t>Codes:SA</t>
  </si>
  <si>
    <t xml:space="preserve">Dan Woods </t>
  </si>
  <si>
    <t>2020 | 2024</t>
  </si>
  <si>
    <t>PI:2021-2498</t>
  </si>
  <si>
    <t>CWO:5341332</t>
  </si>
  <si>
    <t>PI:2019-1023</t>
  </si>
  <si>
    <t>CWO:5987523</t>
  </si>
  <si>
    <t>Codes:SX</t>
  </si>
  <si>
    <t xml:space="preserve">PI:Multiple </t>
  </si>
  <si>
    <t>PWO:QBL0062</t>
  </si>
  <si>
    <t>BC:10138</t>
  </si>
  <si>
    <t>2020 | 2021 | 2023 | 2025</t>
  </si>
  <si>
    <t xml:space="preserve">[Age of Asset] Unable to provide age of asset for blanket budget codes
</t>
  </si>
  <si>
    <t>Submit to ETS USing Screening Tool</t>
  </si>
  <si>
    <t>CWO:5419736</t>
  </si>
  <si>
    <t>[Utility Unique ID #1] 2021-2149 , 2022-3042</t>
  </si>
  <si>
    <t>Codes:Palomar Energy Center</t>
  </si>
  <si>
    <t>CWO:5982698</t>
  </si>
  <si>
    <t>A WASA SYNCHROWAVE SOFTWARE APPL</t>
  </si>
  <si>
    <t>Dan Dietmeyer</t>
  </si>
  <si>
    <t>CWO:2397763</t>
  </si>
  <si>
    <t>Replace approx. 72 wood poles with overhead steel poles and/or underground cabling.  Reconductor approx. 5.4 mi from Stuart Tap to Las Pulgas Substation.</t>
  </si>
  <si>
    <t>PI:2014-00050-ZZ</t>
  </si>
  <si>
    <t>PWO:QS00040</t>
  </si>
  <si>
    <t>CWO:2981430</t>
  </si>
  <si>
    <t>BC:10143</t>
  </si>
  <si>
    <t>Codes:TL690</t>
  </si>
  <si>
    <t>This project will replace existing wood poles along TL691 within the Fire Threat Zone with new steel poles and associated hardware.</t>
  </si>
  <si>
    <t>PI:2014-00051-ZZ</t>
  </si>
  <si>
    <t>PWO:QS00041</t>
  </si>
  <si>
    <t>CWO:2981470</t>
  </si>
  <si>
    <t>BC:10144</t>
  </si>
  <si>
    <t xml:space="preserve">  2022-12-22</t>
  </si>
  <si>
    <t>Codes:TL691</t>
  </si>
  <si>
    <t>This project will replace existing wood poles along TL692 within the Fire Threat Zone with new steel poles and associated hardware.</t>
  </si>
  <si>
    <t>PI:2014-00225-ZZ</t>
  </si>
  <si>
    <t>PWO:QS00042</t>
  </si>
  <si>
    <t>CWO:2981410</t>
  </si>
  <si>
    <t>BC:10145</t>
  </si>
  <si>
    <t>Codes:TL692</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</si>
  <si>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</si>
  <si>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PI:2014-00074-ZZ</t>
  </si>
  <si>
    <t>PWO:QS00043</t>
  </si>
  <si>
    <t>CWO:2981440</t>
  </si>
  <si>
    <t>BC:10146</t>
  </si>
  <si>
    <t>Codes:TL695/ TL6971</t>
  </si>
  <si>
    <t>This project will replace existing wood poles along TL6912 within the Fire Threat Zone with new steel poles and associated hardware.</t>
  </si>
  <si>
    <t>PI:2014-00073-ZZ</t>
  </si>
  <si>
    <t>PWO:QS00045</t>
  </si>
  <si>
    <t>CWO:2981450</t>
  </si>
  <si>
    <t>BC:10149</t>
  </si>
  <si>
    <t>Codes:TL6912</t>
  </si>
  <si>
    <t>PI:2011-00018-ZZ</t>
  </si>
  <si>
    <t>PWO:QS00049</t>
  </si>
  <si>
    <t>CWO:2982343 ; 2982340</t>
  </si>
  <si>
    <t>BC:11126</t>
  </si>
  <si>
    <t>Codes:TL663</t>
  </si>
  <si>
    <t>PI:2011-00021-ZZ</t>
  </si>
  <si>
    <t>PWO:QS00054</t>
  </si>
  <si>
    <t>CWO:2982810</t>
  </si>
  <si>
    <t>BC:11154</t>
  </si>
  <si>
    <t>Codes:TL644</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</si>
  <si>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</si>
  <si>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PWO:QBL0063</t>
  </si>
  <si>
    <t>BC:12129</t>
  </si>
  <si>
    <t>CWO:5983036</t>
  </si>
  <si>
    <t>PWO:QBL0064</t>
  </si>
  <si>
    <t>BC:12132</t>
  </si>
  <si>
    <t>PI:2023-3393</t>
  </si>
  <si>
    <t>CWO:5296602</t>
  </si>
  <si>
    <t>Codes:TB</t>
  </si>
  <si>
    <t>PI:2023-3392</t>
  </si>
  <si>
    <t>CWO:5698978</t>
  </si>
  <si>
    <t>Codes:RCL</t>
  </si>
  <si>
    <t>PI:2021-2013</t>
  </si>
  <si>
    <t>CWO:5819154</t>
  </si>
  <si>
    <t>Codes:TL23014</t>
  </si>
  <si>
    <t>A OT RELIABILITY ENHANCEMENT</t>
  </si>
  <si>
    <t>PI:2022-3075</t>
  </si>
  <si>
    <t>CWO:5595005</t>
  </si>
  <si>
    <t>Codes:OT</t>
  </si>
  <si>
    <t>FALSE  | TRUE  |  FALSE</t>
  </si>
  <si>
    <t>PI:2012-00005-ZZ</t>
  </si>
  <si>
    <t>PWO:QS00066</t>
  </si>
  <si>
    <t>CWO:2983341</t>
  </si>
  <si>
    <t>BC:12136</t>
  </si>
  <si>
    <t xml:space="preserve">  2023-10-04</t>
  </si>
  <si>
    <t>Codes:TL639</t>
  </si>
  <si>
    <t>PI:2012-00006-ZZ</t>
  </si>
  <si>
    <t>PWO:QS00067</t>
  </si>
  <si>
    <t>CWO:2983351</t>
  </si>
  <si>
    <t>BC:12137</t>
  </si>
  <si>
    <t>Codes:TL6916</t>
  </si>
  <si>
    <t>PI:2012-00011-ZZ</t>
  </si>
  <si>
    <t>PWO:QS00068</t>
  </si>
  <si>
    <t xml:space="preserve">CWO:2983671; 2983672 </t>
  </si>
  <si>
    <t>BC:12138</t>
  </si>
  <si>
    <t xml:space="preserve">  2024-07-20</t>
  </si>
  <si>
    <t>Codes:TL615/ TL659</t>
  </si>
  <si>
    <t>PI:2012-00028-ZZ</t>
  </si>
  <si>
    <t>PWO:QS00069</t>
  </si>
  <si>
    <t xml:space="preserve">CWO:2988470; 2988471 ; 2982932 </t>
  </si>
  <si>
    <t>BC:12139</t>
  </si>
  <si>
    <t>Codes:TL633</t>
  </si>
  <si>
    <t>PWO:QS00070</t>
  </si>
  <si>
    <t>CWO:2650586 ; 2650585</t>
  </si>
  <si>
    <t>BC:12140</t>
  </si>
  <si>
    <t>Codes:ELD-MHT1/ELD-MHT2</t>
  </si>
  <si>
    <t>PI:2012-00015-ZZ</t>
  </si>
  <si>
    <t>PWO:QS00071</t>
  </si>
  <si>
    <t>CWO:2983942</t>
  </si>
  <si>
    <t>BC:12144</t>
  </si>
  <si>
    <t xml:space="preserve">  2022-07-07</t>
  </si>
  <si>
    <t>Codes:TL636</t>
  </si>
  <si>
    <t>PI:2012-00014-ZZ</t>
  </si>
  <si>
    <t>PWO:QS00073</t>
  </si>
  <si>
    <t>CWO:2984280</t>
  </si>
  <si>
    <t>BC:12149</t>
  </si>
  <si>
    <t xml:space="preserve">  2019-11-06</t>
  </si>
  <si>
    <t>Codes:TL694</t>
  </si>
  <si>
    <t>PI:2012-00019-ZZ</t>
  </si>
  <si>
    <t>PWO:QS00074</t>
  </si>
  <si>
    <t>CWO:2984300</t>
  </si>
  <si>
    <t>BC:12150</t>
  </si>
  <si>
    <t xml:space="preserve">  2019-12-05</t>
  </si>
  <si>
    <t>Codes:TL13831</t>
  </si>
  <si>
    <t>PI:2012-00020-ZZ</t>
  </si>
  <si>
    <t>PWO:QS00075</t>
  </si>
  <si>
    <t>CWO:2984290</t>
  </si>
  <si>
    <t>BC:12152</t>
  </si>
  <si>
    <t>Codes:TL13838</t>
  </si>
  <si>
    <t>This project replaces an existing 33 (between Phases 1, 2, and 3) transmission structures on TL600.</t>
  </si>
  <si>
    <t>PI:2012-00023-ZZ</t>
  </si>
  <si>
    <t>PWO:QS00077</t>
  </si>
  <si>
    <t>CWO:2984463</t>
  </si>
  <si>
    <t>BC:12156</t>
  </si>
  <si>
    <t xml:space="preserve">  2020-10-06</t>
  </si>
  <si>
    <t>Codes:TL600</t>
  </si>
  <si>
    <t>PWO:QBL0065</t>
  </si>
  <si>
    <t>BC:12159</t>
  </si>
  <si>
    <t>PI:ALM-SW</t>
  </si>
  <si>
    <t>CWO:2651537;2651558;2982822</t>
  </si>
  <si>
    <t>Codes:TL631</t>
  </si>
  <si>
    <t>A ALM TL631 FAA MARKER BAL R2</t>
  </si>
  <si>
    <t>CWO:2651537</t>
  </si>
  <si>
    <t>A ALM TL13811 FAA MARKER B R2</t>
  </si>
  <si>
    <t>CWO:2651558</t>
  </si>
  <si>
    <t>Codes:TL13811</t>
  </si>
  <si>
    <t>A ALM TCM GRP 5 SAFTY TL23 R7</t>
  </si>
  <si>
    <t>CWO:2982822</t>
  </si>
  <si>
    <t>Codes:TL23</t>
  </si>
  <si>
    <t>PI:2013-00010-ZZ</t>
  </si>
  <si>
    <t>PWO:QS00082</t>
  </si>
  <si>
    <t>CWO:2985251</t>
  </si>
  <si>
    <t>BC:13130</t>
  </si>
  <si>
    <t>2020 | 2022 | 2023 | 2024</t>
  </si>
  <si>
    <t>Codes:DM</t>
  </si>
  <si>
    <t>PWO:QS00086</t>
  </si>
  <si>
    <t xml:space="preserve">CWO:5981160; 5981170; 5981171; 5981197; 5983022 </t>
  </si>
  <si>
    <t>BC:13139</t>
  </si>
  <si>
    <t xml:space="preserve">  2020-09-21</t>
  </si>
  <si>
    <t>CWO:5981171</t>
  </si>
  <si>
    <t>[Reason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</si>
  <si>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CWO:5981197</t>
  </si>
  <si>
    <t>CWO:5983022</t>
  </si>
  <si>
    <t>A CBM GCB MONITORING SUNCREST</t>
  </si>
  <si>
    <t>Moses Phommaleuth</t>
  </si>
  <si>
    <t>CWO:5981170</t>
  </si>
  <si>
    <t>Codes:SCR</t>
  </si>
  <si>
    <t>A CBM GCB MONITORING SAN LUIS REY</t>
  </si>
  <si>
    <t>CWO:5981207</t>
  </si>
  <si>
    <t>Gurinder Gill</t>
  </si>
  <si>
    <t>PI:2014-00210-ZZ</t>
  </si>
  <si>
    <t>PWO:QS00087</t>
  </si>
  <si>
    <t>CWO:5987159</t>
  </si>
  <si>
    <t>BC:13242</t>
  </si>
  <si>
    <t>Codes:KNY</t>
  </si>
  <si>
    <t>PI:2014-00062-ZZ</t>
  </si>
  <si>
    <t>PWO:QS00089</t>
  </si>
  <si>
    <t xml:space="preserve">CWO:2292619; 2651831; 5907328; 5984765 </t>
  </si>
  <si>
    <t>BC:13244</t>
  </si>
  <si>
    <t xml:space="preserve">  2019-12-12</t>
  </si>
  <si>
    <t>Codes:SR</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</si>
  <si>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</si>
  <si>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PI:2021-2075</t>
  </si>
  <si>
    <t>PWO:QS00098</t>
  </si>
  <si>
    <t>CWO:5981321; 5984840; 5984841</t>
  </si>
  <si>
    <t>BC:14126</t>
  </si>
  <si>
    <t>Codes:Suncrest Substation</t>
  </si>
  <si>
    <t>PI:2014-00056-ZZ</t>
  </si>
  <si>
    <t>PWO:QS00099</t>
  </si>
  <si>
    <t xml:space="preserve">CWO:2652432; 2652435; 5983030; 5983218; 5984695 </t>
  </si>
  <si>
    <t>BC:14128</t>
  </si>
  <si>
    <t>Codes:ARR</t>
  </si>
  <si>
    <t>PI:2014-00078-ZZ</t>
  </si>
  <si>
    <t>PWO:QS00101</t>
  </si>
  <si>
    <t>CWO:2986471 ; 5984403 ; 5984404</t>
  </si>
  <si>
    <t>BC:14137</t>
  </si>
  <si>
    <t>10,000 | 100,000</t>
  </si>
  <si>
    <t>Codes:TL6975</t>
  </si>
  <si>
    <t>A TL698 W2S PROJECT</t>
  </si>
  <si>
    <t>PWO:QS00103</t>
  </si>
  <si>
    <t>CWO:2271085</t>
  </si>
  <si>
    <t>BC:14140</t>
  </si>
  <si>
    <t>Codes:TL698</t>
  </si>
  <si>
    <t>Trinnon Myers</t>
  </si>
  <si>
    <t>PI:2017-0095</t>
  </si>
  <si>
    <t>PWO:QS00104</t>
  </si>
  <si>
    <t>CWO:2986910</t>
  </si>
  <si>
    <t>BC:14143</t>
  </si>
  <si>
    <t>Codes:POW</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</si>
  <si>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</si>
  <si>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PI:2014-00060-ZZ</t>
  </si>
  <si>
    <t>PWO:QS00105</t>
  </si>
  <si>
    <t>CWO:2984870</t>
  </si>
  <si>
    <t>BC:14145</t>
  </si>
  <si>
    <t xml:space="preserve">[Primary Purpose] Remote access landing pads for transmission structures
</t>
  </si>
  <si>
    <t>PWO:QBL0020</t>
  </si>
  <si>
    <t>BC:15125</t>
  </si>
  <si>
    <t>PI:2023-3286</t>
  </si>
  <si>
    <t>CWO:5180029</t>
  </si>
  <si>
    <t>PI:2021-2561</t>
  </si>
  <si>
    <t>CWO:5184112</t>
  </si>
  <si>
    <t>Codes:ECO</t>
  </si>
  <si>
    <t>PI:2023-3284</t>
  </si>
  <si>
    <t>CWO:5245798</t>
  </si>
  <si>
    <t>PI:2022-2976</t>
  </si>
  <si>
    <t>CWO:5552660</t>
  </si>
  <si>
    <t>PI:2023-3287</t>
  </si>
  <si>
    <t>CWO:5728144</t>
  </si>
  <si>
    <t>PI:2021-2097</t>
  </si>
  <si>
    <t>CWO:5986268</t>
  </si>
  <si>
    <t>PI:2022-2977</t>
  </si>
  <si>
    <t>CWO:5831095</t>
  </si>
  <si>
    <t>Codes:OCO</t>
  </si>
  <si>
    <t>PI:2022-2929</t>
  </si>
  <si>
    <t>CWO:5878897</t>
  </si>
  <si>
    <t>243 |500</t>
  </si>
  <si>
    <t>PI:2014-00595-ZZ</t>
  </si>
  <si>
    <t>CWO:5982001</t>
  </si>
  <si>
    <t>Closed order</t>
  </si>
  <si>
    <t>244 |500</t>
  </si>
  <si>
    <t>CWO:5983392</t>
  </si>
  <si>
    <t>PI:2024-3902</t>
  </si>
  <si>
    <t>CWO:5299383</t>
  </si>
  <si>
    <t>Codes:TA</t>
  </si>
  <si>
    <t>PI:2024-3903</t>
  </si>
  <si>
    <t>CWO:5768329</t>
  </si>
  <si>
    <t>Codes:OY</t>
  </si>
  <si>
    <t>PI:2024-3904</t>
  </si>
  <si>
    <t>CWO:5308632</t>
  </si>
  <si>
    <t>A CAST MISSION PHASE III</t>
  </si>
  <si>
    <t>CWO:5674855</t>
  </si>
  <si>
    <t>PI:2014-00289-ZZ</t>
  </si>
  <si>
    <t>PWO:QS00123</t>
  </si>
  <si>
    <t>CWO:5984860</t>
  </si>
  <si>
    <t>BC:15246</t>
  </si>
  <si>
    <t>Codes:SF</t>
  </si>
  <si>
    <t>Mid-Coast: As part of SANDAG's Mid Coast Trolley Extension Project, SDG&amp;E will be relocating multiple electric and gas services from the Santa Fe Depot in downtown San Diego to the University City community.</t>
  </si>
  <si>
    <t>PI:2015-00016</t>
  </si>
  <si>
    <t>PWO:QS00125</t>
  </si>
  <si>
    <t>CWO:2985654</t>
  </si>
  <si>
    <t>BC:15258</t>
  </si>
  <si>
    <t>Codes:TLs 604, 612, 613</t>
  </si>
  <si>
    <t xml:space="preserve">
NERC CIP Compliance</t>
  </si>
  <si>
    <t>PWO:QBL0071</t>
  </si>
  <si>
    <t>BC:15259</t>
  </si>
  <si>
    <t>PI:2021-2054</t>
  </si>
  <si>
    <t>CWO:5273381</t>
  </si>
  <si>
    <t xml:space="preserve">[Age of Asset] Project completed, age of previous asset(s) unknown.
</t>
  </si>
  <si>
    <t>Codes:BD</t>
  </si>
  <si>
    <t>PI:2021-2316</t>
  </si>
  <si>
    <t>CWO:5473365</t>
  </si>
  <si>
    <t>Codes:Pala</t>
  </si>
  <si>
    <t>PI:2014-01075-ZZ</t>
  </si>
  <si>
    <t>CWO:5981932</t>
  </si>
  <si>
    <t xml:space="preserve">[Age of Asset] New asset installed, no previous asset 
</t>
  </si>
  <si>
    <t>Codes:CN</t>
  </si>
  <si>
    <t>PI:2019-0222</t>
  </si>
  <si>
    <t>CWO:5981935</t>
  </si>
  <si>
    <t>Codes:STY</t>
  </si>
  <si>
    <t>PI:2021-2202</t>
  </si>
  <si>
    <t>CWO:5983124</t>
  </si>
  <si>
    <t>Codes:DE</t>
  </si>
  <si>
    <t xml:space="preserve"> A JAMACHA SUB 69KV &amp; 12KV REBUILD</t>
  </si>
  <si>
    <t>PI:2020-1016</t>
  </si>
  <si>
    <t>CWO:5983126 ; 2975539</t>
  </si>
  <si>
    <t>Filed and Under Review</t>
  </si>
  <si>
    <t xml:space="preserve"> A NORTH VALLEY 69/12KV SUB</t>
  </si>
  <si>
    <t>PI:2020-2092</t>
  </si>
  <si>
    <t>CWO:5983127 ; 2454903</t>
  </si>
  <si>
    <t>2022 | 2025</t>
  </si>
  <si>
    <t>Codes:MH</t>
  </si>
  <si>
    <t>PI:2014-00432-ZZ-SUB</t>
  </si>
  <si>
    <t>CWO:5984413</t>
  </si>
  <si>
    <t>PI:2014-00278-ZZ-SUB</t>
  </si>
  <si>
    <t>CWO:5984899</t>
  </si>
  <si>
    <t>Codes:WR</t>
  </si>
  <si>
    <t>PI:2021-2178</t>
  </si>
  <si>
    <t>CWO:5063408</t>
  </si>
  <si>
    <t>Codes:POM</t>
  </si>
  <si>
    <t>PI:2021-2177</t>
  </si>
  <si>
    <t>CWO:5981406</t>
  </si>
  <si>
    <t>Codes:STU</t>
  </si>
  <si>
    <t>PWO:QBL0002</t>
  </si>
  <si>
    <t>BC:16126</t>
  </si>
  <si>
    <t>CWO:5244048</t>
  </si>
  <si>
    <t xml:space="preserve">
[Age of Asset] Substation Security upgrades.  No asset IDs. 
</t>
  </si>
  <si>
    <t>Codes:Grant Hill</t>
  </si>
  <si>
    <t>PI:2022-2767</t>
  </si>
  <si>
    <t>CWO:5369760</t>
  </si>
  <si>
    <t xml:space="preserve">[Age of Asset] FENCE REPAIR NO ASSET
</t>
  </si>
  <si>
    <t>Codes:EL</t>
  </si>
  <si>
    <t>PI:2021-2001</t>
  </si>
  <si>
    <t>CWO:5595936</t>
  </si>
  <si>
    <t xml:space="preserve">
[Age of Asset] Substation Security upgrades.  No asset IDs. 
</t>
  </si>
  <si>
    <t>Codes:F</t>
  </si>
  <si>
    <t xml:space="preserve"> A PACIFIC BEACH NON CAST SECURITY</t>
  </si>
  <si>
    <t>Eric Elson</t>
  </si>
  <si>
    <t>PI:2021-2004</t>
  </si>
  <si>
    <t>CWO:5772246</t>
  </si>
  <si>
    <t xml:space="preserve">[Age of Asset] Substation Security upgrades.  No asset IDs. 
[Reason for Change in In-Service Date] In-service dates are estimated during preliminary design and permitting stages of a project; date shifted to reflect actual design and construction schedule. </t>
  </si>
  <si>
    <t>Codes:PB</t>
  </si>
  <si>
    <t>PI:2021-2381</t>
  </si>
  <si>
    <t>CWO:5911905</t>
  </si>
  <si>
    <t>Codes:SM</t>
  </si>
  <si>
    <t>CWO:5981481</t>
  </si>
  <si>
    <t>A VALLEY CENTER NON CAST SECURITY</t>
  </si>
  <si>
    <t>Barry Allyn</t>
  </si>
  <si>
    <t>PI:2023-3526</t>
  </si>
  <si>
    <t>CWO:5384899</t>
  </si>
  <si>
    <t>Codes:VC</t>
  </si>
  <si>
    <t>A CHOLLAS WEST NON CAST SECURITY</t>
  </si>
  <si>
    <t>PI:2023-3525</t>
  </si>
  <si>
    <t>CWO:5385271</t>
  </si>
  <si>
    <t>Codes:CSW</t>
  </si>
  <si>
    <t>A ENCINA SEURITY/FENCING</t>
  </si>
  <si>
    <t>CWO:5473257</t>
  </si>
  <si>
    <t>A ROSE CANYON NON CAST SECURITY</t>
  </si>
  <si>
    <t>PI:2023-3520</t>
  </si>
  <si>
    <t>CWO:5491352</t>
  </si>
  <si>
    <t>Codes:RN</t>
  </si>
  <si>
    <t>A TORREY PINES NON CAST</t>
  </si>
  <si>
    <t>PI:2021-2380</t>
  </si>
  <si>
    <t>CWO:5757757</t>
  </si>
  <si>
    <t>A CRESTWOOD NON CAST SECURITY</t>
  </si>
  <si>
    <t>PI:2023-3524</t>
  </si>
  <si>
    <t>CWO:5940455</t>
  </si>
  <si>
    <t>Codes:CW</t>
  </si>
  <si>
    <t>PI:2018-4 / 2018-1004 / 2018-3</t>
  </si>
  <si>
    <t>PWO:QS00137</t>
  </si>
  <si>
    <t>CWO:5981346;5981347;5981348</t>
  </si>
  <si>
    <t>BC:16133</t>
  </si>
  <si>
    <t>Codes:Descanso Substation, Boulevard East Substation, Warners Substation</t>
  </si>
  <si>
    <t>PWO:QBL0094</t>
  </si>
  <si>
    <t>BC:16138</t>
  </si>
  <si>
    <t>CWO:5171721</t>
  </si>
  <si>
    <t xml:space="preserve">[Utility Unique ID #1(Less Specific)] 2021-2315 , 2022-2975 , 2022-2766 , 2021-2457 , 2021-2010 , 2024-3883 , 2022-3046 , 2022-2956 , 2022-2948 , 2022-2930 , 2014-00575-ZZ , 2022-3047
</t>
  </si>
  <si>
    <t>CWO:5981399</t>
  </si>
  <si>
    <t>PI:2021-2057</t>
  </si>
  <si>
    <t>CWO:5983220</t>
  </si>
  <si>
    <t>PI:2014-00548-ZZ</t>
  </si>
  <si>
    <t>CWO:5984930</t>
  </si>
  <si>
    <t>Codes:EA</t>
  </si>
  <si>
    <t>PI:2020-2055</t>
  </si>
  <si>
    <t>CWO:5986294</t>
  </si>
  <si>
    <t>Codes:IB</t>
  </si>
  <si>
    <t>PI:2020-2054</t>
  </si>
  <si>
    <t>CWO:5986295</t>
  </si>
  <si>
    <t>CWO:5997741</t>
  </si>
  <si>
    <t>[Utility Unique ID #1] 2021-2178 , 2020-2101 , 2021-2315 , 2022-2765</t>
  </si>
  <si>
    <t>A DCRU: SONGS (SAN ONOFRE)</t>
  </si>
  <si>
    <t>PI:2024-3883</t>
  </si>
  <si>
    <t>CWO:5306728</t>
  </si>
  <si>
    <t>PI:2014-00016-ZZ</t>
  </si>
  <si>
    <t>PWO:QS00142</t>
  </si>
  <si>
    <t>CWO:2982933</t>
  </si>
  <si>
    <t>BC:16150</t>
  </si>
  <si>
    <t>Codes:TL23001 / TL23004</t>
  </si>
  <si>
    <t>PI:2015-00021</t>
  </si>
  <si>
    <t>PWO:QS00143</t>
  </si>
  <si>
    <t>CWO:2988430;2989290;5984610;5984611</t>
  </si>
  <si>
    <t>BC:16157</t>
  </si>
  <si>
    <t>Codes:Change PM to Matt Huber, TLs from Jaysen</t>
  </si>
  <si>
    <t>PI:2015-00013</t>
  </si>
  <si>
    <t>PWO:QS00144</t>
  </si>
  <si>
    <t>CWO:2988650</t>
  </si>
  <si>
    <t>BC:16158</t>
  </si>
  <si>
    <t>Codes:TL605</t>
  </si>
  <si>
    <t>PI:2017-0160</t>
  </si>
  <si>
    <t>PWO:QS00149</t>
  </si>
  <si>
    <t>CWO:5987386</t>
  </si>
  <si>
    <t>BC:16261</t>
  </si>
  <si>
    <t xml:space="preserve">  2019-09-24</t>
  </si>
  <si>
    <t>Codes:SMO</t>
  </si>
  <si>
    <t>PWO:QS00154</t>
  </si>
  <si>
    <t>CWO:3878546 ; 2651589 ; 3502598</t>
  </si>
  <si>
    <t>BC:16276</t>
  </si>
  <si>
    <t>2020-06-13 | 2023-06-27 | 2026-06-30</t>
  </si>
  <si>
    <t>PI:2015-00005</t>
  </si>
  <si>
    <t>PWO:QS00158</t>
  </si>
  <si>
    <t>CWO:2651507</t>
  </si>
  <si>
    <t>BC:17125</t>
  </si>
  <si>
    <t>Codes:TL632</t>
  </si>
  <si>
    <t>PI:2012-0002-ZZ</t>
  </si>
  <si>
    <t>PWO:QS00720</t>
  </si>
  <si>
    <t>CWO:2245656</t>
  </si>
  <si>
    <t>BC:17127</t>
  </si>
  <si>
    <t>Codes:TL611</t>
  </si>
  <si>
    <t>PI:2015-00066</t>
  </si>
  <si>
    <t>PWO:QS00159</t>
  </si>
  <si>
    <t>CWO:2988754 ; 5981941</t>
  </si>
  <si>
    <t>BC:17129</t>
  </si>
  <si>
    <t>Codes:TL603</t>
  </si>
  <si>
    <t>PI:2014-00207-ZZ</t>
  </si>
  <si>
    <t>PWO:QS00160</t>
  </si>
  <si>
    <t>CWO:2651852;2651854;5984716</t>
  </si>
  <si>
    <t>BC:17130</t>
  </si>
  <si>
    <t xml:space="preserve"> </t>
  </si>
  <si>
    <t>Codes:TL6906</t>
  </si>
  <si>
    <t>PI:2014-01072-ZZ</t>
  </si>
  <si>
    <t>PWO:QS00161</t>
  </si>
  <si>
    <t>CWO:5981929</t>
  </si>
  <si>
    <t>BC:17138</t>
  </si>
  <si>
    <t xml:space="preserve">  2019-05-21</t>
  </si>
  <si>
    <t>2020 | 2021 | 2023 | 2024</t>
  </si>
  <si>
    <t>PI:2014-00017-ZZ</t>
  </si>
  <si>
    <t>PWO:QS00163</t>
  </si>
  <si>
    <t>CWO:2988756</t>
  </si>
  <si>
    <t>BC:17142</t>
  </si>
  <si>
    <t xml:space="preserve">  2024-08-31</t>
  </si>
  <si>
    <t>PI:2017-0021</t>
  </si>
  <si>
    <t>PWO:QS00164</t>
  </si>
  <si>
    <t>CWO:2988757</t>
  </si>
  <si>
    <t>BC:17143</t>
  </si>
  <si>
    <t xml:space="preserve">  2018-09-04</t>
  </si>
  <si>
    <t>Codes:TL628</t>
  </si>
  <si>
    <t>PI:2017-0026</t>
  </si>
  <si>
    <t>PWO:QS00166</t>
  </si>
  <si>
    <t>CWO:2988759</t>
  </si>
  <si>
    <t>BC:17145</t>
  </si>
  <si>
    <t>PI:2017-0025</t>
  </si>
  <si>
    <t>PWO:QS00167</t>
  </si>
  <si>
    <t>CWO:2988951</t>
  </si>
  <si>
    <t>BC:17147</t>
  </si>
  <si>
    <t xml:space="preserve">  2020-04-24</t>
  </si>
  <si>
    <t>PI:2014-0022</t>
  </si>
  <si>
    <t>PWO:QS00169</t>
  </si>
  <si>
    <t>CWO:2988958</t>
  </si>
  <si>
    <t>BC:17151</t>
  </si>
  <si>
    <t xml:space="preserve">  2017-09-08</t>
  </si>
  <si>
    <t>Codes:TL667</t>
  </si>
  <si>
    <t>PI:2017-0023</t>
  </si>
  <si>
    <t>PWO:QS00170</t>
  </si>
  <si>
    <t>CWO:2652564 ; 2652565 ; 2988959 ; 5987468 ; 5987469</t>
  </si>
  <si>
    <t>BC:17152</t>
  </si>
  <si>
    <t xml:space="preserve">  2022-12-13</t>
  </si>
  <si>
    <t>Codes:TL673</t>
  </si>
  <si>
    <t>PI:2014-00941-ZZ</t>
  </si>
  <si>
    <t>PWO:QS00171</t>
  </si>
  <si>
    <t>CWO:5981930 ; 5987296</t>
  </si>
  <si>
    <t>BC:17153</t>
  </si>
  <si>
    <t>Codes:AV</t>
  </si>
  <si>
    <t>This project replaces approximately 900' of direct buried cable on TL698 from Avocado Substation to Structure Z15588 with concrete encased conduit, cable pole and cable.</t>
  </si>
  <si>
    <t>PI:2017-0027</t>
  </si>
  <si>
    <t>PWO:QS00174</t>
  </si>
  <si>
    <t>CWO:2989260</t>
  </si>
  <si>
    <t>BC:17157</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</si>
  <si>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</si>
  <si>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PI:2014-01062-ZZ</t>
  </si>
  <si>
    <t>PWO:QS00176</t>
  </si>
  <si>
    <t>CWO:5981436;5981931;5981943;5981944;5981945</t>
  </si>
  <si>
    <t>BC:17160</t>
  </si>
  <si>
    <t>Project involves installing civil engineered mitigation of potential landslide risk for overhead electric poles within existing SDG&amp;E utility easement located in Torrey Pines.</t>
  </si>
  <si>
    <t>55;51</t>
  </si>
  <si>
    <t>PI:2023-3558</t>
  </si>
  <si>
    <t>PWO:QS00196</t>
  </si>
  <si>
    <t>CWO:2088775</t>
  </si>
  <si>
    <t>BC:18126</t>
  </si>
  <si>
    <t xml:space="preserve">  2018-02-21</t>
  </si>
  <si>
    <t xml:space="preserve">[CPUC Status] N/A - Prescoping efforts. Filing type not yet determined.  
</t>
  </si>
  <si>
    <t>Codes:TL662/ TL666</t>
  </si>
  <si>
    <t>Score Card Completed, Alternatives Provided, FInal Project Configuration Pending</t>
  </si>
  <si>
    <t>PI:2024-4134</t>
  </si>
  <si>
    <t>PWO:QS00197</t>
  </si>
  <si>
    <t>CWO:5981933; 2489807</t>
  </si>
  <si>
    <t>BC:18127</t>
  </si>
  <si>
    <t>Install shoo-fly's for TL618, TL663 &amp; TL13822 in conflict with the proposed Mission 69kV GIS</t>
  </si>
  <si>
    <t>PI:2019-1012</t>
  </si>
  <si>
    <t>PWO:QS00198</t>
  </si>
  <si>
    <t>CWO:5083552 ; 5981934</t>
  </si>
  <si>
    <t>BC:18128</t>
  </si>
  <si>
    <t xml:space="preserve">  2019-02-01</t>
  </si>
  <si>
    <t>PI:2018-1015</t>
  </si>
  <si>
    <t>PWO:QS00200</t>
  </si>
  <si>
    <t>CWO:5.98193659831905E+20</t>
  </si>
  <si>
    <t>BC:18130</t>
  </si>
  <si>
    <t>Codes:OS</t>
  </si>
  <si>
    <t>PI:2018-4002</t>
  </si>
  <si>
    <t>PWO:QS00380</t>
  </si>
  <si>
    <t>CWO:2652031</t>
  </si>
  <si>
    <t>BC:18136</t>
  </si>
  <si>
    <t xml:space="preserve">[Primary Purpose] Infrastructure not connected to the grid for training purposes.
</t>
  </si>
  <si>
    <t>PI:2014-01074-ZZ</t>
  </si>
  <si>
    <t>PWO:QS00350</t>
  </si>
  <si>
    <t>CWO:5987452</t>
  </si>
  <si>
    <t>BC:18139</t>
  </si>
  <si>
    <t>Reena Roy</t>
  </si>
  <si>
    <t>PI:2014-01071-ZZ</t>
  </si>
  <si>
    <t>PWO:QS00373</t>
  </si>
  <si>
    <t>CWO:5981445;5987443</t>
  </si>
  <si>
    <t>BC:18140</t>
  </si>
  <si>
    <t>PI:2024-9876</t>
  </si>
  <si>
    <t>PWO:QS00318</t>
  </si>
  <si>
    <t>CWO:5981928</t>
  </si>
  <si>
    <t>BC:18251</t>
  </si>
  <si>
    <t xml:space="preserve">[Age of Asset]
</t>
  </si>
  <si>
    <t>Codes:123-DT1</t>
  </si>
  <si>
    <t>PWO:QBL0100</t>
  </si>
  <si>
    <t>BC:19134</t>
  </si>
  <si>
    <t xml:space="preserve"> [Age of Asset] Unable to provide age of asset for Programmatic budget codes
</t>
  </si>
  <si>
    <t>67;44</t>
  </si>
  <si>
    <t>PI:TL689 Z614851/Z12466</t>
  </si>
  <si>
    <t>CWO:2651877</t>
  </si>
  <si>
    <t xml:space="preserve">[Project Description - What] Fiber infrastructure build supports all transmission, distribution, substation, and IT equipment/systems for operations, metering, and real time monitoring.
</t>
  </si>
  <si>
    <t>PI:2019-4014</t>
  </si>
  <si>
    <t>CWO:2652444</t>
  </si>
  <si>
    <t>Codes:TL6945</t>
  </si>
  <si>
    <t>PI:2019-4016</t>
  </si>
  <si>
    <t>CWO:2652526</t>
  </si>
  <si>
    <t>Codes:TL6930</t>
  </si>
  <si>
    <t>PI:2009-00009-ZZ</t>
  </si>
  <si>
    <t>CWO:2902940</t>
  </si>
  <si>
    <t>Codes:TL23022 / 23023</t>
  </si>
  <si>
    <t>PI:2009-00014-ZZ</t>
  </si>
  <si>
    <t>CWO:2902990</t>
  </si>
  <si>
    <t>Codes:TL23051</t>
  </si>
  <si>
    <t>PI:2014-00958-ZZ</t>
  </si>
  <si>
    <t>CWO:2988520</t>
  </si>
  <si>
    <t>Codes:TL23030</t>
  </si>
  <si>
    <t>PI:2014-00626-ZZ</t>
  </si>
  <si>
    <t>CWO:2988525</t>
  </si>
  <si>
    <t>PI:2014-01080-ZZ</t>
  </si>
  <si>
    <t>CWO:2989077</t>
  </si>
  <si>
    <t>Codes:TL635</t>
  </si>
  <si>
    <t>PI:2014-01079-ZZ</t>
  </si>
  <si>
    <t>CWO:2989078</t>
  </si>
  <si>
    <t>Codes:TL6917</t>
  </si>
  <si>
    <t>PI:2014-00950-ZZ</t>
  </si>
  <si>
    <t>CWO:2991030</t>
  </si>
  <si>
    <t>Codes:TL23001</t>
  </si>
  <si>
    <t>PI:2019-4008</t>
  </si>
  <si>
    <t>CWO:2991060</t>
  </si>
  <si>
    <t>Codes:TL6904</t>
  </si>
  <si>
    <t>PI:2023-3234</t>
  </si>
  <si>
    <t>CWO:2119735</t>
  </si>
  <si>
    <t>Codes:TL23022 / TL23023</t>
  </si>
  <si>
    <t>PI:2023-3433</t>
  </si>
  <si>
    <t>CWO:2283136</t>
  </si>
  <si>
    <t>Codes:TL23002 / TL23010</t>
  </si>
  <si>
    <t>PI:2023-3431</t>
  </si>
  <si>
    <t>CWO:2831119</t>
  </si>
  <si>
    <t>Codes:TL23006</t>
  </si>
  <si>
    <t>PI:2023-3434</t>
  </si>
  <si>
    <t>CWO:2929035</t>
  </si>
  <si>
    <t>Codes:TL23052</t>
  </si>
  <si>
    <t>PI:2023-3412</t>
  </si>
  <si>
    <t>CWO:2936994</t>
  </si>
  <si>
    <t>PI:2014-00624-ZZ</t>
  </si>
  <si>
    <t>CWO:2989075</t>
  </si>
  <si>
    <t>Codes:TL685</t>
  </si>
  <si>
    <t>PI:2014-00983-ZZ</t>
  </si>
  <si>
    <t>CWO:2991061</t>
  </si>
  <si>
    <t>Codes:TL683</t>
  </si>
  <si>
    <t>A RINCON SUB TO PALOMAR MT C214</t>
  </si>
  <si>
    <t>CWO:2131324</t>
  </si>
  <si>
    <t>A FBI TL694 Z31079 Z317898</t>
  </si>
  <si>
    <t>PI:2020-4024</t>
  </si>
  <si>
    <t>CWO:2426203</t>
  </si>
  <si>
    <t>A FBI TL694 NVY OCR ME PHASE 1 UG</t>
  </si>
  <si>
    <t>PI:2014-00979-ZZ</t>
  </si>
  <si>
    <t>CWO:2474268</t>
  </si>
  <si>
    <t>A FBI TL694 NVY OCR ME PHASE 1</t>
  </si>
  <si>
    <t>CWO:2682538</t>
  </si>
  <si>
    <t>A TL681 VALLEY ASH FIB R3</t>
  </si>
  <si>
    <t>PI:2014-00949-ZZ</t>
  </si>
  <si>
    <t>CWO:2988524</t>
  </si>
  <si>
    <t>PWO:QBL0081</t>
  </si>
  <si>
    <t xml:space="preserve">CWO:19246_CPD </t>
  </si>
  <si>
    <t>BC:19246</t>
  </si>
  <si>
    <t xml:space="preserve"> 
 [Wildfire Related ] Project is part of wildfire mitigation program</t>
  </si>
  <si>
    <t>Urban Substation - 12kV Switchgear &amp; Capacitor Replacement</t>
  </si>
  <si>
    <t>PI:2021-2065</t>
  </si>
  <si>
    <t>PWO:QS00397</t>
  </si>
  <si>
    <t>CWO:multiple</t>
  </si>
  <si>
    <t>BC:19252</t>
  </si>
  <si>
    <t xml:space="preserve">  2024-08-23</t>
  </si>
  <si>
    <t>Codes:UB</t>
  </si>
  <si>
    <t xml:space="preserve">Replacement of Energy Management System (EMS) application and supporting infrastructure at Electric Transmission's Mission Control Center and Metro Control Center </t>
  </si>
  <si>
    <t>PWO:QS00452</t>
  </si>
  <si>
    <t>CWO:2652515</t>
  </si>
  <si>
    <t>BC:20125</t>
  </si>
  <si>
    <t xml:space="preserve">  2020-04-01</t>
  </si>
  <si>
    <t>PWO:QBL0098</t>
  </si>
  <si>
    <t>BC:20126</t>
  </si>
  <si>
    <t>Submit to ETS Using Screening Tool</t>
  </si>
  <si>
    <t>PI:2023-3297</t>
  </si>
  <si>
    <t>CWO:2073856</t>
  </si>
  <si>
    <t>Codes:TL6925</t>
  </si>
  <si>
    <t>PI:TL630 Z475724</t>
  </si>
  <si>
    <t>CWO:2304526 ; 2989637</t>
  </si>
  <si>
    <t>Codes:TL630</t>
  </si>
  <si>
    <t>PI:TL600 Z91160</t>
  </si>
  <si>
    <t>CWO:2652158</t>
  </si>
  <si>
    <t>PI:TL6908 Z618845</t>
  </si>
  <si>
    <t>CWO:2985070</t>
  </si>
  <si>
    <t>Codes:TL6908</t>
  </si>
  <si>
    <t>PI:TL628 Z282087&amp;Z86824</t>
  </si>
  <si>
    <t>CWO:2985572</t>
  </si>
  <si>
    <t>PI:2022-2738</t>
  </si>
  <si>
    <t>CWO:2986686</t>
  </si>
  <si>
    <t>Codes:TL655 / TL699</t>
  </si>
  <si>
    <t>PI:TL13815 Z731374</t>
  </si>
  <si>
    <t>CWO:2986901</t>
  </si>
  <si>
    <t>Codes:TL13815</t>
  </si>
  <si>
    <t>PI:TL638 Z61344</t>
  </si>
  <si>
    <t>CWO:2987652</t>
  </si>
  <si>
    <t>Codes:TL638</t>
  </si>
  <si>
    <t>PI:TL680B Group</t>
  </si>
  <si>
    <t>CWO:2988970</t>
  </si>
  <si>
    <t>Codes:TL680</t>
  </si>
  <si>
    <t>PI:TL651 Z730387</t>
  </si>
  <si>
    <t>CWO:2294164 ; 2989519</t>
  </si>
  <si>
    <t>Codes:TL651</t>
  </si>
  <si>
    <t>PI:2019-4001</t>
  </si>
  <si>
    <t>CWO:2990340</t>
  </si>
  <si>
    <t>Codes:TL23026</t>
  </si>
  <si>
    <t>PI:TL652 Group 01</t>
  </si>
  <si>
    <t>CWO:2990404</t>
  </si>
  <si>
    <t>PI:TL608 Group 01</t>
  </si>
  <si>
    <t>CWO:2991005</t>
  </si>
  <si>
    <t>PI:TL617 Group 01</t>
  </si>
  <si>
    <t>CWO:2991059</t>
  </si>
  <si>
    <t>Codes:TL617</t>
  </si>
  <si>
    <t>PI:TL684 Group 03</t>
  </si>
  <si>
    <t>CWO:2991072</t>
  </si>
  <si>
    <t>Codes:TL684</t>
  </si>
  <si>
    <t>PI:TL684 Group 05</t>
  </si>
  <si>
    <t>CWO:2991074</t>
  </si>
  <si>
    <t>PI:TL624 Group 04</t>
  </si>
  <si>
    <t>CWO:2991077</t>
  </si>
  <si>
    <t>Codes:TL624</t>
  </si>
  <si>
    <t>PI:TL603 Z1838893443</t>
  </si>
  <si>
    <t>CWO:2819053 ; 2991096</t>
  </si>
  <si>
    <t>PI:TL681 Group 03</t>
  </si>
  <si>
    <t>CWO:2991104</t>
  </si>
  <si>
    <t>Codes:TL681</t>
  </si>
  <si>
    <t>PI:2023-3590</t>
  </si>
  <si>
    <t>CWO:2895054</t>
  </si>
  <si>
    <t>Codes:TL662 / TL6905</t>
  </si>
  <si>
    <t>PI:TL13840 Z579784</t>
  </si>
  <si>
    <t>CWO:2986680</t>
  </si>
  <si>
    <t>Codes:TL13840</t>
  </si>
  <si>
    <t>PI:2022-2728</t>
  </si>
  <si>
    <t>CWO:2988445</t>
  </si>
  <si>
    <t>Codes:TL642</t>
  </si>
  <si>
    <t>FALSE | FALSE |FALSE</t>
  </si>
  <si>
    <t>PI:2024-3689</t>
  </si>
  <si>
    <t>PWO:QBL0092</t>
  </si>
  <si>
    <t>CWO:2987437; 2986802</t>
  </si>
  <si>
    <t>Codes:TL618 / 619</t>
  </si>
  <si>
    <t>A CMP_T0_LX_TL687_GROUP03_NONTT</t>
  </si>
  <si>
    <t>PI:2023-3531</t>
  </si>
  <si>
    <t>CWO:2236617</t>
  </si>
  <si>
    <t>Codes:TL687</t>
  </si>
  <si>
    <t>A CMP_T0_T651_Z730387_TT13534</t>
  </si>
  <si>
    <t>CWO:2294164</t>
  </si>
  <si>
    <t>A CMP_T0_TL630_Z475724_TT13577</t>
  </si>
  <si>
    <t>CWO:2304526</t>
  </si>
  <si>
    <t>A CMP_T0_LX_TL688 Z214887_TT15487</t>
  </si>
  <si>
    <t>PI:2021-2354</t>
  </si>
  <si>
    <t>CWO:2690305</t>
  </si>
  <si>
    <t>A CMP_T0_L2_TL603 Z1838893443 FDN</t>
  </si>
  <si>
    <t>CWO:2819053</t>
  </si>
  <si>
    <t>A CMP_T0_L2_664_Z96050_NON_TT</t>
  </si>
  <si>
    <t>PI:2021-2545</t>
  </si>
  <si>
    <t>CWO:2894152</t>
  </si>
  <si>
    <t>Codes:TL664</t>
  </si>
  <si>
    <t>A CMP_T0_L2_TL688 (99901)_Z214887</t>
  </si>
  <si>
    <t>PI:2022-2639</t>
  </si>
  <si>
    <t>CWO:2984822</t>
  </si>
  <si>
    <t>Codes:TL688</t>
  </si>
  <si>
    <t>A CMP_T0_L3_TL618/619_Z579013X_12</t>
  </si>
  <si>
    <t>CWO:2986802</t>
  </si>
  <si>
    <t>A TL619 Z379491 CMP POLE R R2</t>
  </si>
  <si>
    <t>CWO:2987437</t>
  </si>
  <si>
    <t>A CMP_T0_L3_TL651_Z730387_TT13534</t>
  </si>
  <si>
    <t>CWO:2989519</t>
  </si>
  <si>
    <t>A CMP_T0_L2_TL630_Z475724_13577</t>
  </si>
  <si>
    <t>CWO:2989637</t>
  </si>
  <si>
    <t>A CMP_T0_L2_TL13834_Z128033_13605</t>
  </si>
  <si>
    <t>PI:TL13834 Z128033</t>
  </si>
  <si>
    <t>CWO:2989810</t>
  </si>
  <si>
    <t>Codes:TL13834</t>
  </si>
  <si>
    <t>A CMP_T0_L2_TL684_Z210594X_NON_TT</t>
  </si>
  <si>
    <t>PI:TL684 Group 01</t>
  </si>
  <si>
    <t>CWO:2991070</t>
  </si>
  <si>
    <t>A CMP_T0_L2_TL603_Z183889X_14421</t>
  </si>
  <si>
    <t>CWO:2991096</t>
  </si>
  <si>
    <t>FALSE | TRUE |FALSE</t>
  </si>
  <si>
    <t>BC:20127</t>
  </si>
  <si>
    <t>PI:TL50003 Group 01</t>
  </si>
  <si>
    <t>CWO:2038067</t>
  </si>
  <si>
    <t>Codes:TL50003</t>
  </si>
  <si>
    <t>PI:TL13834 Z29678</t>
  </si>
  <si>
    <t>CWO:2985609</t>
  </si>
  <si>
    <t>PI:TL694 Z317855</t>
  </si>
  <si>
    <t>CWO:2989778</t>
  </si>
  <si>
    <t>PI:TL23002 Z223661</t>
  </si>
  <si>
    <t>CWO:2990443</t>
  </si>
  <si>
    <t>Codes:TL23010 / 23002</t>
  </si>
  <si>
    <t>CWO:5000081</t>
  </si>
  <si>
    <t xml:space="preserve">FALSE | TRUE | FALSE </t>
  </si>
  <si>
    <t>PI:2020-0272</t>
  </si>
  <si>
    <t>PWO:QS00474</t>
  </si>
  <si>
    <t>BC:20133</t>
  </si>
  <si>
    <t xml:space="preserve">  2020-06-12</t>
  </si>
  <si>
    <t>Codes:TL610</t>
  </si>
  <si>
    <t>PI:2019-0257</t>
  </si>
  <si>
    <t>PWO:QS00473</t>
  </si>
  <si>
    <t>CWO:2991116</t>
  </si>
  <si>
    <t>BC:20134</t>
  </si>
  <si>
    <t xml:space="preserve">  2024-07-30</t>
  </si>
  <si>
    <t xml:space="preserve">[Project Description - What] Project is both structure and conductor replacement.  
[Reason for Change in In-Service Date] - Dependency on C75 SUG completion to start the construction of TL627 W2S. </t>
  </si>
  <si>
    <t>Codes:TL627</t>
  </si>
  <si>
    <t>PI:2019-0268</t>
  </si>
  <si>
    <t>PWO:QS00472</t>
  </si>
  <si>
    <t>CWO:291117 ; 2991117</t>
  </si>
  <si>
    <t>BC:20135</t>
  </si>
  <si>
    <t xml:space="preserve">  2024-06-10</t>
  </si>
  <si>
    <t xml:space="preserve">[Project Description - What] Project is both structure and conductor replacement.  
</t>
  </si>
  <si>
    <t>PI:2019-0255</t>
  </si>
  <si>
    <t>PWO:QS00490</t>
  </si>
  <si>
    <t>CWO:2166154</t>
  </si>
  <si>
    <t>BC:20136</t>
  </si>
  <si>
    <t xml:space="preserve">  2024-07-25</t>
  </si>
  <si>
    <t>Codes:TL13804</t>
  </si>
  <si>
    <t>PI:2019-4004</t>
  </si>
  <si>
    <t>PWO:QS00479</t>
  </si>
  <si>
    <t>CWO:2991118</t>
  </si>
  <si>
    <t>BC:20138</t>
  </si>
  <si>
    <t xml:space="preserve">Replace 10 wood pole structures in HFTD Tier 2 with steel pole structures and transfer approximately 1.5 miles of overhead conductor. 
 </t>
  </si>
  <si>
    <t>PI:2020-0287</t>
  </si>
  <si>
    <t>PWO:QS00466</t>
  </si>
  <si>
    <t>BC:20139</t>
  </si>
  <si>
    <t>Codes:TL6952</t>
  </si>
  <si>
    <t>PI:2020-0289</t>
  </si>
  <si>
    <t>PWO:QS00471</t>
  </si>
  <si>
    <t>CWO:2991160</t>
  </si>
  <si>
    <t>BC:20140</t>
  </si>
  <si>
    <t>Codes:TL661 / TL664</t>
  </si>
  <si>
    <t>PI:2019-0269</t>
  </si>
  <si>
    <t>PWO:QS00469</t>
  </si>
  <si>
    <t>CWO:2991163</t>
  </si>
  <si>
    <t>BC:20141</t>
  </si>
  <si>
    <t>PI:2019-0251</t>
  </si>
  <si>
    <t>PWO:QS00470</t>
  </si>
  <si>
    <t>CWO:2991164</t>
  </si>
  <si>
    <t>BC:20142</t>
  </si>
  <si>
    <t xml:space="preserve">  2024-08-29</t>
  </si>
  <si>
    <t>Codes:TL675</t>
  </si>
  <si>
    <t xml:space="preserve">PI:2019-0256 </t>
  </si>
  <si>
    <t>PWO:QS00467</t>
  </si>
  <si>
    <t>CWO:2991162</t>
  </si>
  <si>
    <t>BC:20143</t>
  </si>
  <si>
    <t>Codes:TL 6939</t>
  </si>
  <si>
    <t>PI:2019-0254</t>
  </si>
  <si>
    <t>PWO:QS00468</t>
  </si>
  <si>
    <t>CWO:2991161</t>
  </si>
  <si>
    <t>BC:20144</t>
  </si>
  <si>
    <t>Codes:TL6910</t>
  </si>
  <si>
    <t>PI:2019-0253</t>
  </si>
  <si>
    <t>PWO:QS00465</t>
  </si>
  <si>
    <t>CWO:2652595 ; 5773923</t>
  </si>
  <si>
    <t>BC:20145</t>
  </si>
  <si>
    <t xml:space="preserve">  2024-04-23</t>
  </si>
  <si>
    <t xml:space="preserve">Andrew Moradpour | Jacob ReProgrammatic </t>
  </si>
  <si>
    <t>PI:2021-2176</t>
  </si>
  <si>
    <t>PWO:QS00482</t>
  </si>
  <si>
    <t>CWO:5983271</t>
  </si>
  <si>
    <t>BC:20148</t>
  </si>
  <si>
    <t xml:space="preserve">  2024-08-06</t>
  </si>
  <si>
    <t>PI:2020-0286</t>
  </si>
  <si>
    <t>PWO:QS00504</t>
  </si>
  <si>
    <t>CWO:2468788; 2286412</t>
  </si>
  <si>
    <t>BC:20149</t>
  </si>
  <si>
    <t xml:space="preserve">  2023-06-30</t>
  </si>
  <si>
    <t>Codes:TL6920</t>
  </si>
  <si>
    <t xml:space="preserve">10 poles in HFTD 2 to be replaced from wood to steel. A total of 0.57 miles of existing 1/0 CU and 336.4 ACSR/AW to be reconductored. </t>
  </si>
  <si>
    <t>PI:2020-0273</t>
  </si>
  <si>
    <t>PWO:QS00496</t>
  </si>
  <si>
    <t>CWO:2348211</t>
  </si>
  <si>
    <t>BC:20152</t>
  </si>
  <si>
    <t xml:space="preserve">  2024-08-02</t>
  </si>
  <si>
    <t xml:space="preserve">  2024-06-28</t>
  </si>
  <si>
    <t xml:space="preserve">Dylan Harris | Louis White </t>
  </si>
  <si>
    <t>PI:2020-1014</t>
  </si>
  <si>
    <t>PWO:QS00429</t>
  </si>
  <si>
    <t>CWO:5983185</t>
  </si>
  <si>
    <t>BC:20242</t>
  </si>
  <si>
    <t xml:space="preserve"> 2023-02-22</t>
  </si>
  <si>
    <t>PI:2021-2405</t>
  </si>
  <si>
    <t>PWO:QS00430</t>
  </si>
  <si>
    <t>CWO:5983207 ; 5987543</t>
  </si>
  <si>
    <t>BC:20244</t>
  </si>
  <si>
    <t xml:space="preserve">  2024-10-24</t>
  </si>
  <si>
    <t>Codes:GR</t>
  </si>
  <si>
    <t>PI:2014-00599-ZZ</t>
  </si>
  <si>
    <t>PWO:QS00478</t>
  </si>
  <si>
    <t>CWO:5986279 ; 5021953; 5426930</t>
  </si>
  <si>
    <t>BC:20251</t>
  </si>
  <si>
    <t>Codes:KE</t>
  </si>
  <si>
    <t>PI:2014-00306-ZZ</t>
  </si>
  <si>
    <t>PWO:QS00548</t>
  </si>
  <si>
    <t>CWO:5987541</t>
  </si>
  <si>
    <t>BC:20264</t>
  </si>
  <si>
    <t>Codes:CC</t>
  </si>
  <si>
    <t>PWO:QS00481</t>
  </si>
  <si>
    <t>CWO:2652610</t>
  </si>
  <si>
    <t>BC:20277</t>
  </si>
  <si>
    <t xml:space="preserve">  2020-7-23</t>
  </si>
  <si>
    <t>PWO:QBL0118</t>
  </si>
  <si>
    <t>BC:20284</t>
  </si>
  <si>
    <t>CWO:2652303</t>
  </si>
  <si>
    <t>PWO:QBL0117</t>
  </si>
  <si>
    <t>BC:20285</t>
  </si>
  <si>
    <t>CWO:2479940</t>
  </si>
  <si>
    <t xml:space="preserve">  [NERC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</si>
  <si>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PWO:QBL0124</t>
  </si>
  <si>
    <t>BC:20286</t>
  </si>
  <si>
    <t>CWO:3502897</t>
  </si>
  <si>
    <t xml:space="preserve"> TL651 Boundary Street Customer Relocation </t>
  </si>
  <si>
    <t>PI:2017-0118</t>
  </si>
  <si>
    <t>PWO:QS00658</t>
  </si>
  <si>
    <t>CWO:</t>
  </si>
  <si>
    <t>BC:21128</t>
  </si>
  <si>
    <t xml:space="preserve">  2022-06-22</t>
  </si>
  <si>
    <t>Potential AL Filing</t>
  </si>
  <si>
    <t>PWO:QBL0125</t>
  </si>
  <si>
    <t>BC:21134</t>
  </si>
  <si>
    <t>PI:2020-0283</t>
  </si>
  <si>
    <t>CWO:2226442</t>
  </si>
  <si>
    <t>Codes:TL678</t>
  </si>
  <si>
    <t>PI:2020-0285</t>
  </si>
  <si>
    <t>CWO:2366442;2733075</t>
  </si>
  <si>
    <t>Codes:TL6971</t>
  </si>
  <si>
    <t>PI:2021-0382</t>
  </si>
  <si>
    <t>CWO:2464878</t>
  </si>
  <si>
    <t>CWO:2652098</t>
  </si>
  <si>
    <t>Codes:TL668</t>
  </si>
  <si>
    <t>PI:2021-0387</t>
  </si>
  <si>
    <t>CWO:2025607</t>
  </si>
  <si>
    <t>53551 A W2S_T2_TL6917_4 STRUCTURES</t>
  </si>
  <si>
    <t>CWO:2366442</t>
  </si>
  <si>
    <t>A REL_TL6924 W2S 3 STRUCTURES</t>
  </si>
  <si>
    <t>PI:2021-0388</t>
  </si>
  <si>
    <t>CWO:2726217</t>
  </si>
  <si>
    <t>Codes:TL6924</t>
  </si>
  <si>
    <t>53551 A W2S_T2_TL684_3 STRUCTURES</t>
  </si>
  <si>
    <t>PI:2020-0284</t>
  </si>
  <si>
    <t>CWO:2840773</t>
  </si>
  <si>
    <t>PWO:QBL0126</t>
  </si>
  <si>
    <t>BC:21135</t>
  </si>
  <si>
    <t>CWO:2534998</t>
  </si>
  <si>
    <t xml:space="preserve">
[Utility Unique ID #1] TL612_TL604_Z279897 , TL680B Group-Fndtn</t>
  </si>
  <si>
    <t>10/30/2023; 6/30/2023</t>
  </si>
  <si>
    <t>PI:2021-0406</t>
  </si>
  <si>
    <t>CWO:2062594</t>
  </si>
  <si>
    <t>Codes:TL612 / TL604</t>
  </si>
  <si>
    <t>A CABLE TERMINATOR REPLACEMEN</t>
  </si>
  <si>
    <t>PI:202000-506</t>
  </si>
  <si>
    <t>CWO:2987977</t>
  </si>
  <si>
    <t xml:space="preserve">[Programmatic]  TRANSMISSION CONSTRUCTION &amp; MAINT </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</si>
  <si>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</si>
  <si>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PWO:QBL0127</t>
  </si>
  <si>
    <t>BC:21136</t>
  </si>
  <si>
    <t>The purpose of this work is TCM Cost Consolidation from WO# 5000094 under budgets 100 &amp;  21150 to this new WO# / TCM Reconciliation</t>
  </si>
  <si>
    <t>PI:2022-3126</t>
  </si>
  <si>
    <t>CWO:2638493</t>
  </si>
  <si>
    <t>PI:2021-2012</t>
  </si>
  <si>
    <t>PWO:QS00580</t>
  </si>
  <si>
    <t>CWO:5411756</t>
  </si>
  <si>
    <t>BC:21137</t>
  </si>
  <si>
    <t>PWO:QBL0130</t>
  </si>
  <si>
    <t>BC:21146</t>
  </si>
  <si>
    <t xml:space="preserve">[Primary Purpose] Specialized Structure Access
</t>
  </si>
  <si>
    <t>PI:2022-2623</t>
  </si>
  <si>
    <t>CWO:2254669</t>
  </si>
  <si>
    <t>2024-7-1</t>
  </si>
  <si>
    <t xml:space="preserve">[Project Description - What] Initiative to provide safe access to the transmission structures where there is no proximate road access.  [Primary Purpose] Specialized Structure Access
</t>
  </si>
  <si>
    <t>Codes:N/A</t>
  </si>
  <si>
    <t>PI:2022-2622</t>
  </si>
  <si>
    <t>CWO:2796627</t>
  </si>
  <si>
    <t>PI:2024-3824</t>
  </si>
  <si>
    <t>CWO:2919158</t>
  </si>
  <si>
    <t>2024-12-02</t>
  </si>
  <si>
    <t>HATS Release 4</t>
  </si>
  <si>
    <t>CWO:No WO</t>
  </si>
  <si>
    <t>BU:</t>
  </si>
  <si>
    <t>PI:2020-0327</t>
  </si>
  <si>
    <t>PWO:QS00634</t>
  </si>
  <si>
    <t>CWO:2473746</t>
  </si>
  <si>
    <t>BC:21148</t>
  </si>
  <si>
    <t>Codes:TL623</t>
  </si>
  <si>
    <t>PI:2021-0341</t>
  </si>
  <si>
    <t>PWO:QS00624</t>
  </si>
  <si>
    <t>BC:21149</t>
  </si>
  <si>
    <t xml:space="preserve">  2021-10-25</t>
  </si>
  <si>
    <t>Codes:TL6905</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</si>
  <si>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</si>
  <si>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PWO:QBL0135</t>
  </si>
  <si>
    <t>BC:21150</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</si>
  <si>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</si>
  <si>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PI:2023-3244</t>
  </si>
  <si>
    <t>CWO:2529033</t>
  </si>
  <si>
    <t xml:space="preserve"> A ET/OH CORRECTIVE MAINT PROGRAM</t>
  </si>
  <si>
    <t>Transmission jobs in the Non-HFTD to comply with SDG&amp;E's obligation to serve and meet safety requirements. This work order provides resources to support reactive issues that arise such as storm, fire and pole car contact. The majority of the activities that fall under this blanket work order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</si>
  <si>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CWO:5000094</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</si>
  <si>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</si>
  <si>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PWO:QBL0141</t>
  </si>
  <si>
    <t>BC:21156</t>
  </si>
  <si>
    <t xml:space="preserve">[Project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</si>
  <si>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PI:2021-2462</t>
  </si>
  <si>
    <t>CWO:5502169</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</si>
  <si>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(138kV Switchyard)
[CPUC Status] Per SDG&amp;E Infrastructure Review Group Presentation on 8/21/2024, project exempt (IRG Determination: Exempt / No Advice Letter Required)  
Exempt</t>
  </si>
  <si>
    <t>Codes:TL13833</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</si>
  <si>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</si>
  <si>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PI:2022-2757</t>
  </si>
  <si>
    <t>CWO:5549148</t>
  </si>
  <si>
    <t>PI:2018-1008</t>
  </si>
  <si>
    <t>CWO:5982721</t>
  </si>
  <si>
    <t>Previous Error</t>
  </si>
  <si>
    <t>Codes:OM</t>
  </si>
  <si>
    <t>PI:2019-0227</t>
  </si>
  <si>
    <t>CWO:5986306</t>
  </si>
  <si>
    <t xml:space="preserve">[Project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</si>
  <si>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Codes:Tl13844</t>
  </si>
  <si>
    <t>PI:2014-01105-ZZ</t>
  </si>
  <si>
    <t>CWO:5987479</t>
  </si>
  <si>
    <t>PI:2017-0140</t>
  </si>
  <si>
    <t>CWO:5289199</t>
  </si>
  <si>
    <t>PI:2020-0319</t>
  </si>
  <si>
    <t>CWO:5863218</t>
  </si>
  <si>
    <t>Codes:SG</t>
  </si>
  <si>
    <t>The project will connect to the PTO's transmission system via the Project's 230kV gen-tie emanation from the Otay Mesa substation.</t>
  </si>
  <si>
    <t>Omar Miranda</t>
  </si>
  <si>
    <t>PI:2024-3985</t>
  </si>
  <si>
    <t>CWO:5378945</t>
  </si>
  <si>
    <t>A UMBRIEL IV REMOTE END</t>
  </si>
  <si>
    <t>CWO:5423571</t>
  </si>
  <si>
    <t>A CAPTIVA STORAGE SANU</t>
  </si>
  <si>
    <t>PI:2014-01085-ZZ</t>
  </si>
  <si>
    <t>CWO:5695364</t>
  </si>
  <si>
    <t>PWO:QS00609</t>
  </si>
  <si>
    <t>CWO:3041839</t>
  </si>
  <si>
    <t>BC:21256</t>
  </si>
  <si>
    <t>8/21/2021</t>
  </si>
  <si>
    <t xml:space="preserve">  2017-03-06</t>
  </si>
  <si>
    <t>PI:2022-2704</t>
  </si>
  <si>
    <t>PWO:QS00659</t>
  </si>
  <si>
    <t>CWO:2677878</t>
  </si>
  <si>
    <t>BC:22125</t>
  </si>
  <si>
    <t xml:space="preserve">  2022-06-28</t>
  </si>
  <si>
    <t>Potentially Exempt, Needs Score Card Review</t>
  </si>
  <si>
    <t>PWO:QBL0157</t>
  </si>
  <si>
    <t>BC:22126</t>
  </si>
  <si>
    <t>PI:53030</t>
  </si>
  <si>
    <t>PWO:QS00675</t>
  </si>
  <si>
    <t>CWO:2885054</t>
  </si>
  <si>
    <t>BC:22255</t>
  </si>
  <si>
    <t xml:space="preserve">[Wildfire Related] Provides insights that support wildfire risk assessment and planning.[Primary Purpose] Initial investigation of potential projects.
</t>
  </si>
  <si>
    <t>BU:PM</t>
  </si>
  <si>
    <t>PWO:QBL0148</t>
  </si>
  <si>
    <t>BC:22256</t>
  </si>
  <si>
    <t>CWO:2167374</t>
  </si>
  <si>
    <t>PWO:QS00722</t>
  </si>
  <si>
    <t>BC:23126</t>
  </si>
  <si>
    <t xml:space="preserve">  2023-11-29</t>
  </si>
  <si>
    <t>Codes:NW</t>
  </si>
  <si>
    <t>A SUNCREST UPS</t>
  </si>
  <si>
    <t xml:space="preserve">Substation Security (IV Substation CAST Fence); Security panel backup. </t>
  </si>
  <si>
    <t>238 |500</t>
  </si>
  <si>
    <t>CWO:5753008</t>
  </si>
  <si>
    <t>BC:23127</t>
  </si>
  <si>
    <t xml:space="preserve">Other [Add Notes in Column AX] </t>
  </si>
  <si>
    <t>PWO:QBL0159</t>
  </si>
  <si>
    <t>CWO:2931163</t>
  </si>
  <si>
    <t>BC:23128</t>
  </si>
  <si>
    <t>PWO:QBL0160</t>
  </si>
  <si>
    <t>BC:23129</t>
  </si>
  <si>
    <t xml:space="preserve">[Age of Asset] New asset installed, no previous asset
</t>
  </si>
  <si>
    <t>A SERC_LNL_ARER XBOW WASA</t>
  </si>
  <si>
    <t>PI:2025-4270</t>
  </si>
  <si>
    <t>CWO:5359495</t>
  </si>
  <si>
    <t>Codes:LNL</t>
  </si>
  <si>
    <t>PWO:QBL0166</t>
  </si>
  <si>
    <t>BC:23130</t>
  </si>
  <si>
    <t xml:space="preserve">[Long Term Transmission Investment Plan Inclusion] new budget code created in late 2023.
[Age of Asset] Programmatic 
</t>
  </si>
  <si>
    <t>A TL651 BOUNDARY ST RELOCATION</t>
  </si>
  <si>
    <t>CWO:2216636</t>
  </si>
  <si>
    <t>A TL683 COLE GRADE ROAD</t>
  </si>
  <si>
    <t>CWO:2952902</t>
  </si>
  <si>
    <t>A TL634 JUNIPER ST CRP</t>
  </si>
  <si>
    <t>CWO:2964361</t>
  </si>
  <si>
    <t>Codes:TL634</t>
  </si>
  <si>
    <t>PI:3-578735</t>
  </si>
  <si>
    <t>PWO:QS00703</t>
  </si>
  <si>
    <t>CWO:5483797</t>
  </si>
  <si>
    <t>BC:23242</t>
  </si>
  <si>
    <t xml:space="preserve">  2023-09-21</t>
  </si>
  <si>
    <t xml:space="preserve">  2025-1-1</t>
  </si>
  <si>
    <t>Ziad Hanna</t>
  </si>
  <si>
    <t>PI:3-684733</t>
  </si>
  <si>
    <t>PWO:QS00713</t>
  </si>
  <si>
    <t>BC:23258</t>
  </si>
  <si>
    <t xml:space="preserve">  2024-05-01</t>
  </si>
  <si>
    <t>PI:2024-3662</t>
  </si>
  <si>
    <t>PWO:QS00731</t>
  </si>
  <si>
    <t>CWO:2657707</t>
  </si>
  <si>
    <t>BC:24125</t>
  </si>
  <si>
    <t xml:space="preserve">  2024-01-16</t>
  </si>
  <si>
    <t>Install a new 3 ohm series reactor on the Sycamore – Penasquitos 230 kV line</t>
  </si>
  <si>
    <t>PI:2022-3181</t>
  </si>
  <si>
    <t>PWO:QS00735</t>
  </si>
  <si>
    <t>CWO:2732247</t>
  </si>
  <si>
    <t>BC:24126</t>
  </si>
  <si>
    <t>[Primary Purpose] Project identified in 2022-23 CAISO Transmission Planning Process</t>
  </si>
  <si>
    <t>Codes:TL 23071</t>
  </si>
  <si>
    <t>PI:2020-0294</t>
  </si>
  <si>
    <t>PWO:QS00736</t>
  </si>
  <si>
    <t>CWO:2642984</t>
  </si>
  <si>
    <t>BC:24127</t>
  </si>
  <si>
    <t xml:space="preserve">Codes:TL23013 / TL6959 </t>
  </si>
  <si>
    <t>PWO:QBL0171</t>
  </si>
  <si>
    <t>BC:24129</t>
  </si>
  <si>
    <t xml:space="preserve">  2024-05-29</t>
  </si>
  <si>
    <t>4/15/2024; 9/12/2024; 4/15/2024; 9/28/2022</t>
  </si>
  <si>
    <t>PI:2024-3828</t>
  </si>
  <si>
    <t>CWO:2478618</t>
  </si>
  <si>
    <t>Codes:TL602, TL634, TL602, TL609</t>
  </si>
  <si>
    <t>Oceanside, San Marcos, San Diego County</t>
  </si>
  <si>
    <t>Address the existing San Marcos Substation-Melrose Tap constraint by reconductoring the line to 250MVA</t>
  </si>
  <si>
    <t>PI:2024-4035</t>
  </si>
  <si>
    <t>PWO:QS00743</t>
  </si>
  <si>
    <t>CWO:2739617</t>
  </si>
  <si>
    <t>BC:24130</t>
  </si>
  <si>
    <t>Codes:TL680C</t>
  </si>
  <si>
    <t>PI:2024-4036</t>
  </si>
  <si>
    <t>PWO:QS00744</t>
  </si>
  <si>
    <t>CWO:2173537</t>
  </si>
  <si>
    <t>BC:24131</t>
  </si>
  <si>
    <t>Codes:TL13820</t>
  </si>
  <si>
    <t>PI:2024-4028</t>
  </si>
  <si>
    <t>PWO:QS00748</t>
  </si>
  <si>
    <t>CWO:5517876</t>
  </si>
  <si>
    <t>BC:24132</t>
  </si>
  <si>
    <t xml:space="preserve">  2024-06-17</t>
  </si>
  <si>
    <t>Codes:NCW</t>
  </si>
  <si>
    <t>A OCEANSIDE SUB PRELIM SUPPORT</t>
  </si>
  <si>
    <t>PWO:QS00750</t>
  </si>
  <si>
    <t>CWO:5330866 ; 3110593</t>
  </si>
  <si>
    <t>BC:24133</t>
  </si>
  <si>
    <t>A BORDER SUB DESIGN</t>
  </si>
  <si>
    <t>PWO:QS00752</t>
  </si>
  <si>
    <t>CWO:5258356</t>
  </si>
  <si>
    <t>BC:24134</t>
  </si>
  <si>
    <t>A PACIFIC BEACH ROSE CANYON ELE</t>
  </si>
  <si>
    <t>PWO:QS00756</t>
  </si>
  <si>
    <t>CWO:5492931</t>
  </si>
  <si>
    <t>BC:24135</t>
  </si>
  <si>
    <t>53891 A PRELIM ENG. CORONADO ISL. RELIA</t>
  </si>
  <si>
    <t>Andy Renger</t>
  </si>
  <si>
    <t>PWO:QS00755</t>
  </si>
  <si>
    <t>CWO:2971038</t>
  </si>
  <si>
    <t>BC:24136</t>
  </si>
  <si>
    <t>A SHADOWRIDGE SUB PH1</t>
  </si>
  <si>
    <t>Lynette Aquino</t>
  </si>
  <si>
    <t>PWO:QS00758</t>
  </si>
  <si>
    <t>CWO:5024786</t>
  </si>
  <si>
    <t>BC:24137</t>
  </si>
  <si>
    <t>A ESCONDIDO SUB PRELIM SUPPORT</t>
  </si>
  <si>
    <t>Irina Peterson</t>
  </si>
  <si>
    <t>PWO:QS00759</t>
  </si>
  <si>
    <t>CWO:5190107</t>
  </si>
  <si>
    <t>BC:24138</t>
  </si>
  <si>
    <t>53891 A PRELIM ENG. TRANS UG/OH IV SUB</t>
  </si>
  <si>
    <t>PWO:</t>
  </si>
  <si>
    <t>CWO:2247190 ; 2994496</t>
  </si>
  <si>
    <t>BC:24139</t>
  </si>
  <si>
    <t>BK33, PD: New Bank 33</t>
  </si>
  <si>
    <t>Monique Shelby</t>
  </si>
  <si>
    <t>PI:3-719759</t>
  </si>
  <si>
    <t>CWO:Specific</t>
  </si>
  <si>
    <t>BC:24246</t>
  </si>
  <si>
    <t>A APP WMP: JAM 69KV RBLD T</t>
  </si>
  <si>
    <t>CWO:2975539 ; 5983126 ; 5767967</t>
  </si>
  <si>
    <t>BC:24251</t>
  </si>
  <si>
    <t>Codes:JAM</t>
  </si>
  <si>
    <t>A APP WMP: NVY 69KV RBLD T</t>
  </si>
  <si>
    <t>CWO:2454903; 5983127</t>
  </si>
  <si>
    <t>BC:24252</t>
  </si>
  <si>
    <t>Codes:NVY</t>
  </si>
  <si>
    <t>BC:25143</t>
  </si>
  <si>
    <t>BC:25144</t>
  </si>
  <si>
    <t>Replacing SDG&amp;E's legacy Customer Information System (CIS) with a new SAP system</t>
  </si>
  <si>
    <t>FALSE | FALSE| FALSE</t>
  </si>
  <si>
    <t>PWO:QS00194</t>
  </si>
  <si>
    <t>CWO:3502409 ; 3502609 ; 3502612 ; 3502613 ; 3502614 ; 3502615 ; 3502619 ; 3502945</t>
  </si>
  <si>
    <t>BC:CIS001</t>
  </si>
  <si>
    <t>A CNF WOOD TO STEEL: PRE CONST PR</t>
  </si>
  <si>
    <t>CWO:2651115</t>
  </si>
  <si>
    <t xml:space="preserve">BC:CNF MSUP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</si>
</sst>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3" formatCode="_(* #,##0.00_);_(* \(#,##0.00\);_(* &quot;-&quot;??_);_(@_)"/>
    <numFmt numFmtId="164" formatCode="yyyy/mm/dd"/>
    <numFmt numFmtId="165" formatCode="0.0000"/>
    <numFmt numFmtId="166" formatCode="0.000"/>
    <numFmt numFmtId="167" formatCode="0.00000"/>
    <numFmt numFmtId="168" formatCode="yyyy\-mm\-dd;@"/>
    <numFmt numFmtId="169" formatCode="[$-409]mmmmm\-yy;@"/>
    <numFmt numFmtId="170" formatCode="_(* #,##0_);_(* \(#,##0\);_(* &quot;-&quot;??_);_(@_)"/>
    <numFmt numFmtId="171" formatCode="[$-F800]dddd\,\ mmmm\ dd\,\ yyyy"/>
  </numFmts>
  <fonts count="41" x14ac:knownFonts="1">
    <font>
      <sz val="11"/>
      <color theme="1"/>
      <name val="Aptos Narrow"/>
      <family val="2"/>
      <scheme val="minor"/>
    </font>
    <font>
      <sz val="11"/>
      <color theme="1"/>
      <name val="Aptos Narrow"/>
      <family val="2"/>
      <scheme val="minor"/>
    </font>
    <font>
      <sz val="10"/>
      <color rgb="FF000000"/>
      <name val="Times New Roman"/>
      <family val="1"/>
    </font>
    <font>
      <b/>
      <sz val="11"/>
      <color theme="0"/>
      <name val="Aptos Narrow"/>
      <family val="2"/>
      <scheme val="minor"/>
    </font>
    <font>
      <sz val="10"/>
      <color theme="1"/>
      <name val="Times New Roman"/>
      <family val="1"/>
    </font>
    <font>
      <sz val="10"/>
      <color theme="1"/>
      <name val="Times New Roman"/>
      <family val="1"/>
      <charset val="204"/>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1"/>
      <color rgb="FF242424"/>
      <name val="Aptos Narrow"/>
      <family val="2"/>
    </font>
    <font>
      <sz val="11"/>
      <color theme="1"/>
      <name val="Aptos Narrow"/>
      <family val="2"/>
      <scheme val="minor"/>
    </font>
    <font>
      <b/>
      <sz val="9"/>
      <color theme="0"/>
      <name val="Times New Roman"/>
      <family val="1"/>
      <charset val="204"/>
    </font>
    <font>
      <b/>
      <sz val="11"/>
      <color rgb="FF242424"/>
      <name val="Aptos Narrow"/>
      <family val="2"/>
    </font>
    <font>
      <b/>
      <sz val="11"/>
      <color rgb="FFC00000"/>
      <name val="Aptos Narrow"/>
      <family val="2"/>
      <scheme val="minor"/>
    </font>
    <font>
      <b/>
      <sz val="11"/>
      <color rgb="FFFF0000"/>
      <name val="Aptos Narrow"/>
      <family val="2"/>
      <scheme val="minor"/>
    </font>
    <font>
      <sz val="10"/>
      <color theme="1"/>
      <name val="Arial"/>
      <family val="2"/>
    </font>
    <font>
      <sz val="10"/>
      <color theme="1"/>
      <name val="Calibri"/>
      <family val="2"/>
    </font>
    <font>
      <sz val="11"/>
      <color theme="1"/>
      <name val="Aptos Narrow"/>
      <family val="2"/>
    </font>
    <font>
      <sz val="11"/>
      <color theme="1"/>
      <name val="Aptos"/>
      <family val="2"/>
    </font>
    <font>
      <sz val="9"/>
      <color theme="1"/>
      <name val="Times New Roman"/>
      <family val="1"/>
      <charset val="204"/>
    </font>
    <font>
      <sz val="10"/>
      <name val="Times New Roman"/>
      <family val="1"/>
      <charset val="204"/>
    </font>
    <font>
      <sz val="9"/>
      <color rgb="FF242424"/>
      <name val="Calibri"/>
      <family val="2"/>
    </font>
    <font>
      <sz val="10"/>
      <color theme="1"/>
      <name val="Aptos Narrow"/>
      <family val="2"/>
    </font>
    <font>
      <sz val="11"/>
      <color theme="1"/>
      <name val="Times New Roman"/>
      <family val="1"/>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Aptos Narrow"/>
      <family val="2"/>
      <scheme val="minor"/>
    </font>
    <font>
      <sz val="8"/>
      <name val="Aptos Narrow"/>
      <family val="2"/>
      <scheme val="minor"/>
    </font>
  </fonts>
  <fills count="22">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A9D08E"/>
        <bgColor rgb="FF000000"/>
      </patternFill>
    </fill>
    <fill>
      <patternFill patternType="solid">
        <fgColor theme="5" tint="0.39997558519241921"/>
        <bgColor indexed="64"/>
      </patternFill>
    </fill>
    <fill>
      <patternFill patternType="solid">
        <fgColor rgb="FFFFFF00"/>
        <bgColor rgb="FF000000"/>
      </patternFill>
    </fill>
    <fill>
      <patternFill patternType="solid">
        <fgColor rgb="FFB8CCE4"/>
        <bgColor rgb="FF000000"/>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rgb="FF9BC2E6"/>
        <bgColor rgb="FF000000"/>
      </patternFill>
    </fill>
    <fill>
      <patternFill patternType="solid">
        <fgColor rgb="FFF4B084"/>
        <bgColor rgb="FF000000"/>
      </patternFill>
    </fill>
    <fill>
      <patternFill patternType="solid">
        <fgColor theme="5" tint="0.59999389629810485"/>
        <bgColor indexed="64"/>
      </patternFill>
    </fill>
    <fill>
      <patternFill patternType="solid">
        <fgColor theme="1"/>
        <bgColor indexed="64"/>
      </patternFill>
    </fill>
  </fills>
  <borders count="16">
    <border>
      <left/>
      <right/>
      <top/>
      <bottom/>
      <diagonal/>
    </border>
    <border>
      <left/>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theme="1"/>
      </left>
      <right/>
      <top style="thin">
        <color theme="1"/>
      </top>
      <bottom style="thin">
        <color theme="1"/>
      </bottom>
      <diagonal/>
    </border>
    <border>
      <left/>
      <right/>
      <top style="medium">
        <color rgb="FF000000"/>
      </top>
      <bottom style="thin">
        <color indexed="64"/>
      </bottom>
      <diagonal/>
    </border>
    <border>
      <left/>
      <right/>
      <top style="thin">
        <color theme="9" tint="0.39997558519241921"/>
      </top>
      <bottom style="thin">
        <color theme="9" tint="0.39997558519241921"/>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alignment vertical="center"/>
    </xf>
    <xf numFmtId="43" fontId="1" fillId="0" borderId="0" applyFont="0" applyFill="0" applyBorder="0" applyAlignment="0" applyProtection="0"/>
  </cellStyleXfs>
  <cellXfs count="262">
    <xf numFmtId="0" fontId="0" fillId="0" borderId="0" xfId="0"/>
    <xf numFmtId="49" fontId="3" fillId="2" borderId="1" xfId="0" applyNumberFormat="1" applyFont="1" applyFill="1" applyBorder="1" applyAlignment="1">
      <alignment horizontal="left" vertical="center"/>
    </xf>
    <xf numFmtId="0" fontId="4" fillId="3" borderId="0" xfId="0" applyFont="1" applyFill="1" applyAlignment="1">
      <alignment horizontal="center" vertical="center"/>
    </xf>
    <xf numFmtId="1" fontId="4" fillId="3" borderId="0" xfId="0" applyNumberFormat="1" applyFont="1" applyFill="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3" fillId="2" borderId="1" xfId="0" applyFont="1" applyFill="1" applyBorder="1" applyAlignment="1">
      <alignment horizontal="left" vertical="center"/>
    </xf>
    <xf numFmtId="0" fontId="9" fillId="0" borderId="0" xfId="3" applyFont="1" applyAlignment="1">
      <alignment horizontal="left" vertical="center" wrapText="1"/>
    </xf>
    <xf numFmtId="0" fontId="10" fillId="0" borderId="0" xfId="2" applyFont="1"/>
    <xf numFmtId="0" fontId="10" fillId="0" borderId="0" xfId="0" applyFont="1"/>
    <xf numFmtId="0" fontId="11" fillId="0" borderId="0" xfId="2" applyFont="1"/>
    <xf numFmtId="0" fontId="10" fillId="0" borderId="0" xfId="2" applyFont="1" applyAlignment="1">
      <alignment horizontal="center"/>
    </xf>
    <xf numFmtId="0" fontId="12" fillId="0" borderId="0" xfId="2" applyFont="1" applyAlignment="1">
      <alignment horizontal="center"/>
    </xf>
    <xf numFmtId="0" fontId="12" fillId="0" borderId="0" xfId="2" applyFont="1"/>
    <xf numFmtId="0" fontId="13" fillId="0" borderId="0" xfId="2" applyFont="1"/>
    <xf numFmtId="0" fontId="14" fillId="0" borderId="0" xfId="2" applyFont="1"/>
    <xf numFmtId="0" fontId="15" fillId="0" borderId="0" xfId="2" applyFont="1"/>
    <xf numFmtId="0" fontId="16" fillId="0" borderId="0" xfId="2" applyFont="1"/>
    <xf numFmtId="0" fontId="17" fillId="0" borderId="0" xfId="2" applyFont="1"/>
    <xf numFmtId="0" fontId="6" fillId="5" borderId="0" xfId="2" applyFont="1" applyFill="1"/>
    <xf numFmtId="0" fontId="7" fillId="5" borderId="0" xfId="2" applyFont="1" applyFill="1"/>
    <xf numFmtId="0" fontId="8" fillId="5" borderId="0" xfId="2" applyFont="1" applyFill="1"/>
    <xf numFmtId="14" fontId="3" fillId="2" borderId="1" xfId="0" applyNumberFormat="1" applyFont="1" applyFill="1" applyBorder="1" applyAlignment="1">
      <alignment horizontal="left" vertical="center"/>
    </xf>
    <xf numFmtId="49" fontId="3" fillId="2" borderId="5" xfId="0" applyNumberFormat="1" applyFont="1" applyFill="1" applyBorder="1" applyAlignment="1">
      <alignment horizontal="center" wrapText="1"/>
    </xf>
    <xf numFmtId="0" fontId="3" fillId="2" borderId="1" xfId="0" applyFont="1" applyFill="1" applyBorder="1" applyAlignment="1">
      <alignment horizontal="left" vertical="center" indent="1"/>
    </xf>
    <xf numFmtId="49" fontId="3" fillId="7" borderId="1" xfId="0" applyNumberFormat="1" applyFont="1" applyFill="1" applyBorder="1" applyAlignment="1">
      <alignment horizontal="left" vertical="center"/>
    </xf>
    <xf numFmtId="0" fontId="3" fillId="7" borderId="1" xfId="0" applyFont="1" applyFill="1" applyBorder="1" applyAlignment="1">
      <alignment horizontal="lef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left" vertical="center"/>
    </xf>
    <xf numFmtId="0" fontId="20" fillId="2" borderId="4"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3" fillId="2" borderId="3" xfId="0" applyFont="1" applyFill="1" applyBorder="1" applyAlignment="1">
      <alignment horizontal="left" vertical="center"/>
    </xf>
    <xf numFmtId="0" fontId="3" fillId="8" borderId="1" xfId="0" applyFont="1" applyFill="1" applyBorder="1" applyAlignment="1">
      <alignment horizontal="left" vertical="center"/>
    </xf>
    <xf numFmtId="0" fontId="4" fillId="3" borderId="0" xfId="7" applyNumberFormat="1" applyFont="1" applyFill="1" applyAlignment="1">
      <alignment horizontal="center" vertical="center" wrapText="1"/>
    </xf>
    <xf numFmtId="0" fontId="4" fillId="0" borderId="0" xfId="7" applyNumberFormat="1" applyFont="1" applyAlignment="1">
      <alignment horizontal="center" vertical="center" wrapText="1"/>
    </xf>
    <xf numFmtId="0" fontId="4" fillId="0" borderId="3" xfId="7" applyNumberFormat="1" applyFont="1" applyBorder="1" applyAlignment="1">
      <alignment horizontal="center" vertical="center" wrapText="1"/>
    </xf>
    <xf numFmtId="0" fontId="4" fillId="3" borderId="3" xfId="7" applyNumberFormat="1" applyFont="1" applyFill="1" applyBorder="1" applyAlignment="1">
      <alignment horizontal="center" vertical="center" wrapText="1"/>
    </xf>
    <xf numFmtId="0" fontId="4" fillId="0" borderId="2" xfId="7" applyNumberFormat="1" applyFont="1" applyBorder="1" applyAlignment="1">
      <alignment horizontal="center" vertical="center" wrapText="1"/>
    </xf>
    <xf numFmtId="1" fontId="5" fillId="3" borderId="0" xfId="0" applyNumberFormat="1" applyFont="1" applyFill="1" applyAlignment="1">
      <alignment horizontal="left" vertical="center"/>
    </xf>
    <xf numFmtId="1" fontId="5" fillId="0" borderId="0" xfId="0" applyNumberFormat="1" applyFont="1" applyAlignment="1">
      <alignment horizontal="left" vertical="center"/>
    </xf>
    <xf numFmtId="1" fontId="4" fillId="3" borderId="0" xfId="0" applyNumberFormat="1"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xf>
    <xf numFmtId="0" fontId="5" fillId="0" borderId="0" xfId="0" applyFont="1"/>
    <xf numFmtId="0" fontId="5" fillId="3" borderId="0" xfId="0" applyFont="1" applyFill="1"/>
    <xf numFmtId="0" fontId="18" fillId="3" borderId="0" xfId="0" applyFont="1" applyFill="1"/>
    <xf numFmtId="2" fontId="4"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 fontId="5" fillId="3" borderId="0" xfId="0" applyNumberFormat="1" applyFont="1" applyFill="1" applyAlignment="1">
      <alignment horizontal="center" vertical="center"/>
    </xf>
    <xf numFmtId="1" fontId="5" fillId="0" borderId="0" xfId="0" applyNumberFormat="1" applyFont="1" applyAlignment="1">
      <alignment horizontal="center" vertical="center"/>
    </xf>
    <xf numFmtId="165" fontId="4" fillId="0" borderId="0" xfId="0" applyNumberFormat="1" applyFont="1" applyAlignment="1">
      <alignment horizontal="center" vertical="center"/>
    </xf>
    <xf numFmtId="2" fontId="5" fillId="0" borderId="0" xfId="0" applyNumberFormat="1" applyFont="1" applyAlignment="1">
      <alignment horizontal="center" vertical="center"/>
    </xf>
    <xf numFmtId="2" fontId="5" fillId="3" borderId="0" xfId="0" applyNumberFormat="1" applyFont="1" applyFill="1" applyAlignment="1">
      <alignment horizontal="center" vertical="center"/>
    </xf>
    <xf numFmtId="167" fontId="5" fillId="3" borderId="0" xfId="0" applyNumberFormat="1" applyFont="1" applyFill="1" applyAlignment="1">
      <alignment horizontal="center" vertical="center"/>
    </xf>
    <xf numFmtId="0" fontId="24" fillId="0" borderId="0" xfId="0" applyFont="1" applyAlignment="1">
      <alignment horizontal="center" vertical="center"/>
    </xf>
    <xf numFmtId="1" fontId="5" fillId="0" borderId="2" xfId="0" applyNumberFormat="1" applyFont="1" applyBorder="1" applyAlignment="1">
      <alignment horizontal="center" vertical="center"/>
    </xf>
    <xf numFmtId="0" fontId="4" fillId="9" borderId="0" xfId="0" applyFont="1" applyFill="1" applyAlignment="1">
      <alignment horizontal="center" vertical="center"/>
    </xf>
    <xf numFmtId="0" fontId="4" fillId="0" borderId="0" xfId="0" applyFont="1" applyAlignment="1">
      <alignment horizontal="center" vertical="center" wrapText="1"/>
    </xf>
    <xf numFmtId="0" fontId="25" fillId="0" borderId="0" xfId="2" applyFont="1" applyAlignment="1">
      <alignment horizontal="center" vertical="center"/>
    </xf>
    <xf numFmtId="168"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168" fontId="4" fillId="3" borderId="0" xfId="0" applyNumberFormat="1" applyFont="1" applyFill="1" applyAlignment="1">
      <alignment horizontal="center" vertical="center"/>
    </xf>
    <xf numFmtId="168" fontId="4" fillId="0" borderId="0" xfId="0" applyNumberFormat="1" applyFont="1" applyAlignment="1">
      <alignment horizontal="center" vertical="center"/>
    </xf>
    <xf numFmtId="0" fontId="25" fillId="0" borderId="0" xfId="3" applyFont="1" applyAlignment="1">
      <alignment horizontal="center" vertical="center"/>
    </xf>
    <xf numFmtId="0" fontId="26" fillId="3" borderId="0" xfId="0" applyFont="1" applyFill="1" applyAlignment="1">
      <alignment horizontal="left" vertical="center"/>
    </xf>
    <xf numFmtId="0" fontId="5" fillId="0" borderId="0" xfId="0" applyFont="1" applyAlignment="1">
      <alignment horizontal="center" vertical="center" wrapText="1"/>
    </xf>
    <xf numFmtId="0" fontId="25" fillId="0" borderId="0" xfId="4" applyFont="1" applyAlignment="1">
      <alignment horizontal="center" vertical="center"/>
    </xf>
    <xf numFmtId="168" fontId="4" fillId="3" borderId="0" xfId="0" applyNumberFormat="1" applyFont="1" applyFill="1" applyAlignment="1">
      <alignment horizontal="center" vertical="center" wrapText="1"/>
    </xf>
    <xf numFmtId="168" fontId="5" fillId="0" borderId="0" xfId="0" applyNumberFormat="1" applyFont="1" applyAlignment="1">
      <alignment horizontal="center" vertical="center"/>
    </xf>
    <xf numFmtId="168" fontId="5" fillId="3" borderId="0" xfId="0" applyNumberFormat="1" applyFont="1" applyFill="1" applyAlignment="1">
      <alignment horizontal="center" vertical="center"/>
    </xf>
    <xf numFmtId="0" fontId="5" fillId="3" borderId="0" xfId="0" applyFont="1" applyFill="1" applyAlignment="1">
      <alignment horizontal="center" vertical="center" wrapText="1"/>
    </xf>
    <xf numFmtId="0" fontId="27" fillId="0" borderId="0" xfId="0" applyFont="1" applyAlignment="1">
      <alignment horizontal="left" vertical="center"/>
    </xf>
    <xf numFmtId="0" fontId="4" fillId="3" borderId="0" xfId="4" applyFont="1" applyFill="1" applyAlignment="1">
      <alignment horizontal="center" vertical="center" wrapText="1"/>
    </xf>
    <xf numFmtId="0" fontId="27" fillId="3" borderId="0" xfId="0" applyFont="1" applyFill="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2" fontId="5" fillId="0" borderId="0" xfId="5" applyNumberFormat="1" applyFont="1" applyAlignment="1">
      <alignment horizontal="center" vertical="center"/>
    </xf>
    <xf numFmtId="2" fontId="5" fillId="3" borderId="0" xfId="5" applyNumberFormat="1" applyFont="1" applyFill="1" applyAlignment="1">
      <alignment horizontal="center" vertical="center"/>
    </xf>
    <xf numFmtId="43" fontId="5" fillId="3" borderId="0" xfId="8" applyFont="1" applyFill="1" applyAlignment="1">
      <alignment horizontal="center" vertical="center"/>
    </xf>
    <xf numFmtId="0" fontId="28" fillId="3" borderId="0" xfId="0" applyFont="1" applyFill="1" applyAlignment="1">
      <alignment horizontal="center" vertical="center"/>
    </xf>
    <xf numFmtId="0" fontId="28" fillId="0" borderId="0" xfId="0" applyFont="1" applyAlignment="1">
      <alignment horizontal="center" vertical="center"/>
    </xf>
    <xf numFmtId="0" fontId="4" fillId="0" borderId="5" xfId="0" applyFont="1" applyBorder="1" applyAlignment="1">
      <alignment horizontal="center" vertical="center"/>
    </xf>
    <xf numFmtId="0" fontId="28" fillId="0" borderId="2" xfId="0" applyFont="1" applyBorder="1" applyAlignment="1">
      <alignment horizontal="center" vertical="center"/>
    </xf>
    <xf numFmtId="49" fontId="4" fillId="3" borderId="0" xfId="0" applyNumberFormat="1" applyFont="1" applyFill="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9" fontId="4" fillId="0" borderId="0" xfId="0" applyNumberFormat="1" applyFont="1" applyAlignment="1">
      <alignment horizontal="center" vertical="center"/>
    </xf>
    <xf numFmtId="49" fontId="4" fillId="0" borderId="2" xfId="0" applyNumberFormat="1" applyFont="1" applyBorder="1" applyAlignment="1">
      <alignment horizontal="center" vertical="center"/>
    </xf>
    <xf numFmtId="169" fontId="4" fillId="0" borderId="0" xfId="0" applyNumberFormat="1" applyFont="1" applyAlignment="1">
      <alignment horizontal="center" vertical="center"/>
    </xf>
    <xf numFmtId="169" fontId="4" fillId="3" borderId="0" xfId="0" applyNumberFormat="1" applyFont="1" applyFill="1" applyAlignment="1">
      <alignment horizontal="center" vertical="center"/>
    </xf>
    <xf numFmtId="0" fontId="29" fillId="0" borderId="0" xfId="0" applyFont="1" applyAlignment="1">
      <alignment horizontal="center"/>
    </xf>
    <xf numFmtId="0" fontId="4" fillId="0" borderId="0" xfId="0" applyFont="1" applyAlignment="1">
      <alignment horizontal="left" vertical="top"/>
    </xf>
    <xf numFmtId="0" fontId="5" fillId="3" borderId="0" xfId="0" applyFont="1" applyFill="1" applyAlignment="1">
      <alignment horizontal="left" vertical="center"/>
    </xf>
    <xf numFmtId="169" fontId="5" fillId="0" borderId="0" xfId="0" applyNumberFormat="1" applyFont="1" applyAlignment="1">
      <alignment horizontal="center" vertical="center"/>
    </xf>
    <xf numFmtId="169" fontId="5" fillId="3" borderId="0" xfId="0" applyNumberFormat="1" applyFont="1" applyFill="1" applyAlignment="1">
      <alignment horizontal="center" vertical="center"/>
    </xf>
    <xf numFmtId="169" fontId="4" fillId="0" borderId="2" xfId="0" applyNumberFormat="1" applyFont="1" applyBorder="1" applyAlignment="1">
      <alignment horizontal="center" vertical="center"/>
    </xf>
    <xf numFmtId="1" fontId="4" fillId="4" borderId="0" xfId="0" applyNumberFormat="1" applyFont="1" applyFill="1" applyAlignment="1">
      <alignment horizontal="center" vertical="center"/>
    </xf>
    <xf numFmtId="0" fontId="30" fillId="3" borderId="0" xfId="0" applyFont="1" applyFill="1"/>
    <xf numFmtId="14" fontId="4" fillId="0" borderId="0" xfId="0" applyNumberFormat="1" applyFont="1" applyAlignment="1">
      <alignment horizontal="center" vertical="center"/>
    </xf>
    <xf numFmtId="14" fontId="4" fillId="3" borderId="0" xfId="0" applyNumberFormat="1" applyFont="1" applyFill="1" applyAlignment="1">
      <alignment horizontal="center" vertical="center"/>
    </xf>
    <xf numFmtId="0" fontId="4" fillId="3" borderId="0" xfId="0" applyFont="1" applyFill="1"/>
    <xf numFmtId="168" fontId="4" fillId="3" borderId="0" xfId="0" quotePrefix="1" applyNumberFormat="1" applyFont="1" applyFill="1" applyAlignment="1">
      <alignment horizontal="center" vertical="center"/>
    </xf>
    <xf numFmtId="168" fontId="5" fillId="0" borderId="0" xfId="0" applyNumberFormat="1" applyFont="1" applyAlignment="1">
      <alignment horizontal="center"/>
    </xf>
    <xf numFmtId="168" fontId="4" fillId="0" borderId="0" xfId="0" quotePrefix="1" applyNumberFormat="1" applyFont="1" applyAlignment="1">
      <alignment horizontal="center" vertical="center"/>
    </xf>
    <xf numFmtId="168" fontId="4" fillId="0" borderId="2" xfId="0" applyNumberFormat="1" applyFont="1" applyBorder="1" applyAlignment="1">
      <alignment horizontal="center" vertical="center"/>
    </xf>
    <xf numFmtId="3" fontId="4" fillId="0" borderId="0" xfId="0" applyNumberFormat="1" applyFont="1" applyAlignment="1">
      <alignment horizontal="center" vertical="center" wrapText="1"/>
    </xf>
    <xf numFmtId="3" fontId="4" fillId="3" borderId="0" xfId="0" applyNumberFormat="1" applyFont="1" applyFill="1" applyAlignment="1">
      <alignment horizontal="center" vertical="center" wrapText="1"/>
    </xf>
    <xf numFmtId="0" fontId="31" fillId="0" borderId="0" xfId="0" applyFont="1" applyAlignment="1">
      <alignment horizontal="center" vertical="center"/>
    </xf>
    <xf numFmtId="0" fontId="31" fillId="3" borderId="0" xfId="0" applyFont="1" applyFill="1" applyAlignment="1">
      <alignment horizontal="center" vertical="center"/>
    </xf>
    <xf numFmtId="0" fontId="5" fillId="0" borderId="0" xfId="0" applyFont="1" applyAlignment="1">
      <alignment horizontal="center" wrapText="1"/>
    </xf>
    <xf numFmtId="0" fontId="32" fillId="3" borderId="0" xfId="0" applyFont="1" applyFill="1" applyAlignment="1">
      <alignment horizontal="center" vertical="center" wrapText="1"/>
    </xf>
    <xf numFmtId="168" fontId="4" fillId="3" borderId="0" xfId="0" quotePrefix="1" applyNumberFormat="1" applyFont="1" applyFill="1" applyAlignment="1">
      <alignment horizontal="center" vertical="center" wrapText="1"/>
    </xf>
    <xf numFmtId="168" fontId="5" fillId="3" borderId="0" xfId="0" quotePrefix="1" applyNumberFormat="1" applyFont="1" applyFill="1" applyAlignment="1">
      <alignment horizontal="center" vertical="center"/>
    </xf>
    <xf numFmtId="168" fontId="4" fillId="10" borderId="0" xfId="0" applyNumberFormat="1" applyFont="1" applyFill="1" applyAlignment="1">
      <alignment horizontal="center" vertical="center"/>
    </xf>
    <xf numFmtId="168" fontId="4" fillId="10" borderId="0" xfId="0" quotePrefix="1" applyNumberFormat="1" applyFont="1" applyFill="1" applyAlignment="1">
      <alignment horizontal="center" vertical="center"/>
    </xf>
    <xf numFmtId="0" fontId="4" fillId="3" borderId="0" xfId="4" applyFont="1" applyFill="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4" applyFont="1" applyAlignment="1">
      <alignment horizontal="center" vertical="center"/>
    </xf>
    <xf numFmtId="168" fontId="4" fillId="3" borderId="0" xfId="0" applyNumberFormat="1" applyFont="1" applyFill="1" applyAlignment="1">
      <alignment horizontal="center" vertical="center" shrinkToFit="1"/>
    </xf>
    <xf numFmtId="14" fontId="4" fillId="3" borderId="0" xfId="0" quotePrefix="1" applyNumberFormat="1" applyFont="1" applyFill="1" applyAlignment="1">
      <alignment horizontal="center" vertical="center"/>
    </xf>
    <xf numFmtId="43" fontId="5" fillId="0" borderId="0" xfId="8" applyFont="1" applyAlignment="1">
      <alignment horizontal="center" vertical="center"/>
    </xf>
    <xf numFmtId="170" fontId="5" fillId="0" borderId="0" xfId="5" applyNumberFormat="1" applyFont="1" applyBorder="1" applyAlignment="1">
      <alignment horizontal="center" vertical="top"/>
    </xf>
    <xf numFmtId="0" fontId="4" fillId="3" borderId="0" xfId="0" applyFont="1" applyFill="1" applyAlignment="1">
      <alignment horizontal="center"/>
    </xf>
    <xf numFmtId="170" fontId="4" fillId="3" borderId="0" xfId="5" applyNumberFormat="1" applyFont="1" applyFill="1" applyBorder="1" applyAlignment="1">
      <alignment horizontal="center" vertical="center"/>
    </xf>
    <xf numFmtId="2" fontId="5" fillId="0" borderId="0" xfId="5" applyNumberFormat="1" applyFont="1" applyBorder="1" applyAlignment="1">
      <alignment horizontal="center" vertical="center"/>
    </xf>
    <xf numFmtId="2" fontId="5" fillId="3" borderId="0" xfId="5" applyNumberFormat="1" applyFont="1" applyFill="1" applyBorder="1" applyAlignment="1">
      <alignment horizontal="center" vertical="center"/>
    </xf>
    <xf numFmtId="6" fontId="5" fillId="3" borderId="0" xfId="0" applyNumberFormat="1" applyFont="1" applyFill="1" applyAlignment="1">
      <alignment horizontal="center" vertical="center"/>
    </xf>
    <xf numFmtId="0" fontId="18" fillId="0" borderId="0" xfId="0" applyFont="1"/>
    <xf numFmtId="0" fontId="0" fillId="0" borderId="0" xfId="0" applyAlignment="1">
      <alignment wrapText="1"/>
    </xf>
    <xf numFmtId="49" fontId="3" fillId="12" borderId="1" xfId="0" applyNumberFormat="1" applyFont="1" applyFill="1" applyBorder="1" applyAlignment="1">
      <alignment horizontal="center" vertical="center"/>
    </xf>
    <xf numFmtId="0" fontId="23" fillId="12" borderId="3" xfId="0" applyFont="1" applyFill="1" applyBorder="1" applyAlignment="1">
      <alignment horizontal="center" vertical="center"/>
    </xf>
    <xf numFmtId="0" fontId="3" fillId="12" borderId="1" xfId="0" applyFont="1" applyFill="1" applyBorder="1" applyAlignment="1">
      <alignment horizontal="left" vertical="center"/>
    </xf>
    <xf numFmtId="9" fontId="4" fillId="3" borderId="0" xfId="7" applyFont="1" applyFill="1" applyBorder="1" applyAlignment="1">
      <alignment horizontal="left" vertical="top" wrapText="1"/>
    </xf>
    <xf numFmtId="9" fontId="4" fillId="0" borderId="0" xfId="7" applyFont="1" applyBorder="1" applyAlignment="1">
      <alignment horizontal="left" vertical="top" wrapText="1"/>
    </xf>
    <xf numFmtId="9" fontId="4" fillId="0" borderId="0" xfId="7" applyFont="1" applyBorder="1" applyAlignment="1">
      <alignment vertical="top" wrapText="1"/>
    </xf>
    <xf numFmtId="9" fontId="4" fillId="3" borderId="0" xfId="7" applyFont="1" applyFill="1" applyBorder="1" applyAlignment="1">
      <alignment vertical="top" wrapText="1"/>
    </xf>
    <xf numFmtId="9" fontId="4" fillId="3" borderId="0" xfId="7" applyFont="1" applyFill="1" applyAlignment="1">
      <alignment horizontal="left" vertical="top" wrapText="1"/>
    </xf>
    <xf numFmtId="9" fontId="4" fillId="0" borderId="0" xfId="7" applyFont="1" applyAlignment="1">
      <alignment horizontal="left" vertical="top" wrapText="1"/>
    </xf>
    <xf numFmtId="9" fontId="5" fillId="0" borderId="0" xfId="7" applyFont="1" applyAlignment="1">
      <alignment horizontal="left" vertical="top" wrapText="1"/>
    </xf>
    <xf numFmtId="9" fontId="4" fillId="0" borderId="6" xfId="7" applyFont="1" applyBorder="1" applyAlignment="1">
      <alignment vertical="top" wrapText="1"/>
    </xf>
    <xf numFmtId="9" fontId="4" fillId="0" borderId="6" xfId="7" applyFont="1" applyBorder="1" applyAlignment="1">
      <alignment horizontal="left" vertical="top" wrapText="1"/>
    </xf>
    <xf numFmtId="9" fontId="5" fillId="3" borderId="0" xfId="7" applyFont="1" applyFill="1" applyAlignment="1">
      <alignment horizontal="left" vertical="top" wrapText="1"/>
    </xf>
    <xf numFmtId="9" fontId="5" fillId="0" borderId="0" xfId="0" applyNumberFormat="1" applyFont="1" applyAlignment="1">
      <alignment horizontal="center" vertical="center" wrapText="1"/>
    </xf>
    <xf numFmtId="9" fontId="5" fillId="3" borderId="0" xfId="0" applyNumberFormat="1" applyFont="1" applyFill="1" applyAlignment="1">
      <alignment horizontal="center" vertical="center" wrapText="1"/>
    </xf>
    <xf numFmtId="9" fontId="4" fillId="0" borderId="2" xfId="7" applyFont="1" applyBorder="1" applyAlignment="1">
      <alignment horizontal="left" vertical="top" wrapText="1"/>
    </xf>
    <xf numFmtId="0" fontId="2" fillId="0" borderId="0" xfId="0" applyFont="1"/>
    <xf numFmtId="168" fontId="0" fillId="0" borderId="0" xfId="0" applyNumberFormat="1"/>
    <xf numFmtId="0" fontId="0" fillId="0" borderId="0" xfId="0" applyAlignment="1">
      <alignment horizontal="left"/>
    </xf>
    <xf numFmtId="0" fontId="34" fillId="13" borderId="0" xfId="0" applyFont="1" applyFill="1" applyAlignment="1">
      <alignment horizontal="center" vertical="center" wrapText="1"/>
    </xf>
    <xf numFmtId="0" fontId="34" fillId="17" borderId="0" xfId="0" applyFont="1" applyFill="1" applyAlignment="1">
      <alignment horizontal="center" vertical="center" wrapText="1"/>
    </xf>
    <xf numFmtId="0" fontId="34" fillId="15" borderId="0" xfId="0" applyFont="1" applyFill="1" applyAlignment="1">
      <alignment horizontal="center" vertical="center" wrapText="1"/>
    </xf>
    <xf numFmtId="0" fontId="34" fillId="14" borderId="0" xfId="0" applyFont="1" applyFill="1" applyAlignment="1">
      <alignment horizontal="center" vertical="center" wrapText="1"/>
    </xf>
    <xf numFmtId="0" fontId="34" fillId="16" borderId="0" xfId="0" applyFont="1" applyFill="1" applyAlignment="1">
      <alignment horizontal="center" vertical="center" wrapText="1"/>
    </xf>
    <xf numFmtId="0" fontId="35" fillId="16" borderId="14" xfId="0" applyFont="1" applyFill="1" applyBorder="1" applyAlignment="1">
      <alignment horizontal="center" vertical="center" wrapText="1"/>
    </xf>
    <xf numFmtId="0" fontId="35" fillId="4" borderId="0" xfId="0" applyFont="1" applyFill="1" applyAlignment="1">
      <alignment horizontal="center" vertical="center" wrapText="1"/>
    </xf>
    <xf numFmtId="168" fontId="34" fillId="15" borderId="0" xfId="0" applyNumberFormat="1" applyFont="1" applyFill="1" applyAlignment="1">
      <alignment horizontal="center" vertical="center" wrapText="1"/>
    </xf>
    <xf numFmtId="14" fontId="1" fillId="3" borderId="0" xfId="0" applyNumberFormat="1" applyFont="1" applyFill="1" applyAlignment="1">
      <alignment horizontal="center" vertical="center"/>
    </xf>
    <xf numFmtId="168" fontId="1" fillId="0" borderId="0" xfId="0" quotePrefix="1" applyNumberFormat="1" applyFont="1" applyAlignment="1">
      <alignment horizontal="center" vertical="center"/>
    </xf>
    <xf numFmtId="168"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0" fontId="34" fillId="14" borderId="0" xfId="0" applyFont="1" applyFill="1" applyAlignment="1">
      <alignment horizontal="left" vertical="center" wrapText="1"/>
    </xf>
    <xf numFmtId="0" fontId="34" fillId="17" borderId="0" xfId="0" applyFont="1" applyFill="1" applyAlignment="1">
      <alignment vertical="center" wrapText="1"/>
    </xf>
    <xf numFmtId="0" fontId="34" fillId="13" borderId="0" xfId="0" applyFont="1" applyFill="1" applyAlignment="1">
      <alignment horizontal="left" vertical="center" wrapText="1"/>
    </xf>
    <xf numFmtId="0" fontId="0" fillId="0" borderId="0" xfId="0" applyAlignment="1">
      <alignment horizontal="left" vertical="center"/>
    </xf>
    <xf numFmtId="0" fontId="34" fillId="14" borderId="0" xfId="0" applyFont="1" applyFill="1" applyAlignment="1">
      <alignment vertical="center" wrapText="1"/>
    </xf>
    <xf numFmtId="0" fontId="34" fillId="13" borderId="0" xfId="0" applyFont="1" applyFill="1" applyAlignment="1">
      <alignment vertical="center" wrapText="1"/>
    </xf>
    <xf numFmtId="2" fontId="0" fillId="0" borderId="0" xfId="0" applyNumberFormat="1" applyAlignment="1">
      <alignment horizontal="center"/>
    </xf>
    <xf numFmtId="0" fontId="0" fillId="0" borderId="0" xfId="0" applyAlignment="1">
      <alignment horizontal="center"/>
    </xf>
    <xf numFmtId="0" fontId="34" fillId="17" borderId="0" xfId="0" applyFont="1" applyFill="1" applyAlignment="1">
      <alignment horizontal="left" vertical="center" wrapText="1"/>
    </xf>
    <xf numFmtId="0" fontId="0" fillId="0" borderId="0" xfId="0" applyAlignment="1">
      <alignment horizontal="center" vertical="center"/>
    </xf>
    <xf numFmtId="168" fontId="0" fillId="0" borderId="0" xfId="0" applyNumberFormat="1" applyAlignment="1">
      <alignment horizontal="center"/>
    </xf>
    <xf numFmtId="171"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vertical="center"/>
    </xf>
    <xf numFmtId="168" fontId="0" fillId="0" borderId="0" xfId="0" applyNumberFormat="1" applyAlignment="1">
      <alignment horizontal="center" wrapText="1"/>
    </xf>
    <xf numFmtId="43" fontId="34" fillId="16" borderId="0" xfId="0" applyNumberFormat="1" applyFont="1" applyFill="1" applyAlignment="1">
      <alignment vertical="center" wrapText="1"/>
    </xf>
    <xf numFmtId="43" fontId="0" fillId="0" borderId="0" xfId="0" applyNumberFormat="1"/>
    <xf numFmtId="43" fontId="34" fillId="16" borderId="0" xfId="0" applyNumberFormat="1" applyFont="1" applyFill="1" applyAlignment="1">
      <alignment horizontal="center" vertical="center" wrapText="1"/>
    </xf>
    <xf numFmtId="9" fontId="35" fillId="16" borderId="14" xfId="0" applyNumberFormat="1" applyFont="1" applyFill="1" applyBorder="1" applyAlignment="1">
      <alignment horizontal="center" vertical="center" wrapText="1"/>
    </xf>
    <xf numFmtId="9" fontId="0" fillId="0" borderId="0" xfId="0" applyNumberFormat="1"/>
    <xf numFmtId="0" fontId="34" fillId="20" borderId="0" xfId="0" applyFont="1" applyFill="1" applyAlignment="1">
      <alignment horizontal="center" vertical="center" wrapText="1"/>
    </xf>
    <xf numFmtId="0" fontId="35" fillId="20" borderId="14"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left" vertical="center" wrapText="1"/>
    </xf>
    <xf numFmtId="0" fontId="37" fillId="0" borderId="13" xfId="0" applyFont="1" applyBorder="1" applyAlignment="1">
      <alignment vertical="center" wrapText="1"/>
    </xf>
    <xf numFmtId="0" fontId="37"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3" xfId="0" applyFont="1" applyBorder="1" applyAlignment="1">
      <alignment horizontal="center" vertical="center"/>
    </xf>
    <xf numFmtId="0" fontId="36" fillId="0" borderId="13" xfId="0" applyFont="1" applyBorder="1" applyAlignment="1">
      <alignment vertical="center" wrapText="1"/>
    </xf>
    <xf numFmtId="0" fontId="38" fillId="0" borderId="13" xfId="0" applyFont="1" applyBorder="1" applyAlignment="1">
      <alignment horizontal="center" vertical="center" wrapText="1" shrinkToFit="1"/>
    </xf>
    <xf numFmtId="0" fontId="36" fillId="0" borderId="12" xfId="0" applyFont="1" applyBorder="1" applyAlignment="1">
      <alignment vertical="top"/>
    </xf>
    <xf numFmtId="0" fontId="36" fillId="13" borderId="10" xfId="0" applyFont="1" applyFill="1" applyBorder="1" applyAlignment="1">
      <alignment vertical="top"/>
    </xf>
    <xf numFmtId="0" fontId="36" fillId="13" borderId="9" xfId="0" applyFont="1" applyFill="1" applyBorder="1" applyAlignment="1">
      <alignment vertical="top"/>
    </xf>
    <xf numFmtId="0" fontId="36" fillId="13" borderId="11" xfId="0" applyFont="1" applyFill="1" applyBorder="1" applyAlignment="1">
      <alignment vertical="top"/>
    </xf>
    <xf numFmtId="0" fontId="36" fillId="17" borderId="10" xfId="0" applyFont="1" applyFill="1" applyBorder="1" applyAlignment="1">
      <alignment vertical="top"/>
    </xf>
    <xf numFmtId="0" fontId="36" fillId="17" borderId="9" xfId="0" applyFont="1" applyFill="1" applyBorder="1" applyAlignment="1">
      <alignment vertical="top"/>
    </xf>
    <xf numFmtId="0" fontId="36" fillId="17" borderId="11" xfId="0" applyFont="1" applyFill="1" applyBorder="1" applyAlignment="1">
      <alignment vertical="top"/>
    </xf>
    <xf numFmtId="0" fontId="36" fillId="11" borderId="10" xfId="0" applyFont="1" applyFill="1" applyBorder="1" applyAlignment="1">
      <alignment vertical="top"/>
    </xf>
    <xf numFmtId="0" fontId="36" fillId="11" borderId="9" xfId="0" applyFont="1" applyFill="1" applyBorder="1" applyAlignment="1">
      <alignment vertical="top"/>
    </xf>
    <xf numFmtId="0" fontId="36" fillId="11" borderId="11" xfId="0" applyFont="1" applyFill="1" applyBorder="1" applyAlignment="1">
      <alignment vertical="top"/>
    </xf>
    <xf numFmtId="0" fontId="36" fillId="18" borderId="10" xfId="0" applyFont="1" applyFill="1" applyBorder="1" applyAlignment="1">
      <alignment vertical="top"/>
    </xf>
    <xf numFmtId="0" fontId="36" fillId="18" borderId="9" xfId="0" applyFont="1" applyFill="1" applyBorder="1" applyAlignment="1">
      <alignment vertical="top"/>
    </xf>
    <xf numFmtId="0" fontId="36" fillId="18" borderId="11" xfId="0" applyFont="1" applyFill="1" applyBorder="1" applyAlignment="1">
      <alignment vertical="top"/>
    </xf>
    <xf numFmtId="43" fontId="36" fillId="19" borderId="10" xfId="0" applyNumberFormat="1" applyFont="1" applyFill="1" applyBorder="1" applyAlignment="1">
      <alignment vertical="top"/>
    </xf>
    <xf numFmtId="0" fontId="36" fillId="19" borderId="9" xfId="0" applyFont="1" applyFill="1" applyBorder="1" applyAlignment="1">
      <alignment vertical="top"/>
    </xf>
    <xf numFmtId="0" fontId="36" fillId="16" borderId="14" xfId="0"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9" fillId="3" borderId="0" xfId="3" applyFont="1" applyFill="1" applyAlignment="1">
      <alignment horizontal="center" vertical="center" wrapText="1"/>
    </xf>
    <xf numFmtId="0" fontId="9" fillId="0" borderId="0" xfId="3" applyFont="1" applyAlignment="1">
      <alignment horizontal="center" vertical="center" wrapText="1"/>
    </xf>
    <xf numFmtId="0" fontId="4" fillId="3" borderId="0" xfId="0" applyFont="1" applyFill="1" applyAlignment="1">
      <alignment wrapText="1"/>
    </xf>
    <xf numFmtId="0" fontId="4" fillId="0" borderId="0" xfId="0" applyFont="1" applyAlignment="1">
      <alignment wrapText="1"/>
    </xf>
    <xf numFmtId="0" fontId="4" fillId="3" borderId="3" xfId="0" applyFont="1" applyFill="1" applyBorder="1" applyAlignment="1">
      <alignment wrapText="1"/>
    </xf>
    <xf numFmtId="0" fontId="4" fillId="0" borderId="0" xfId="0" applyFont="1" applyAlignment="1">
      <alignment horizontal="left"/>
    </xf>
    <xf numFmtId="0" fontId="4" fillId="3" borderId="0" xfId="0" applyFont="1" applyFill="1" applyAlignment="1">
      <alignment horizontal="left"/>
    </xf>
    <xf numFmtId="0" fontId="4" fillId="0" borderId="3" xfId="0" applyFont="1" applyBorder="1" applyAlignment="1">
      <alignment wrapText="1"/>
    </xf>
    <xf numFmtId="0" fontId="4" fillId="4" borderId="0" xfId="0" applyFont="1" applyFill="1" applyAlignment="1">
      <alignment horizontal="center"/>
    </xf>
    <xf numFmtId="0" fontId="4" fillId="0" borderId="2" xfId="0" applyFont="1" applyBorder="1"/>
    <xf numFmtId="0" fontId="4" fillId="4" borderId="2" xfId="0" applyFont="1" applyFill="1" applyBorder="1" applyAlignment="1">
      <alignment horizontal="center"/>
    </xf>
    <xf numFmtId="9" fontId="2" fillId="0" borderId="0" xfId="7" applyFont="1" applyFill="1" applyAlignment="1"/>
    <xf numFmtId="9" fontId="33" fillId="0" borderId="0" xfId="7" applyFont="1" applyFill="1" applyAlignment="1"/>
    <xf numFmtId="0" fontId="2" fillId="0" borderId="8" xfId="0" applyFont="1" applyBorder="1"/>
    <xf numFmtId="9" fontId="2" fillId="0" borderId="8" xfId="7" applyFont="1" applyFill="1" applyBorder="1" applyAlignment="1"/>
    <xf numFmtId="170" fontId="33" fillId="0" borderId="0" xfId="8" applyNumberFormat="1" applyFont="1" applyFill="1"/>
    <xf numFmtId="170" fontId="0" fillId="0" borderId="0" xfId="8" applyNumberFormat="1" applyFont="1" applyFill="1" applyAlignment="1">
      <alignment horizontal="center"/>
    </xf>
    <xf numFmtId="170" fontId="33" fillId="0" borderId="0" xfId="8" quotePrefix="1" applyNumberFormat="1" applyFont="1" applyFill="1"/>
    <xf numFmtId="170" fontId="2" fillId="0" borderId="0" xfId="8" applyNumberFormat="1" applyFont="1" applyFill="1"/>
    <xf numFmtId="9" fontId="0" fillId="0" borderId="0" xfId="0" applyNumberFormat="1" applyAlignment="1">
      <alignment horizontal="center"/>
    </xf>
    <xf numFmtId="170" fontId="2" fillId="0" borderId="0" xfId="8" quotePrefix="1" applyNumberFormat="1" applyFont="1" applyFill="1"/>
    <xf numFmtId="3" fontId="0" fillId="0" borderId="0" xfId="0" applyNumberFormat="1" applyAlignment="1">
      <alignment horizontal="center"/>
    </xf>
    <xf numFmtId="170" fontId="2" fillId="0" borderId="8" xfId="8" quotePrefix="1" applyNumberFormat="1" applyFont="1" applyFill="1" applyBorder="1"/>
    <xf numFmtId="170" fontId="2" fillId="0" borderId="8" xfId="8" applyNumberFormat="1" applyFont="1" applyFill="1" applyBorder="1"/>
    <xf numFmtId="0" fontId="34" fillId="16" borderId="15" xfId="0" applyFont="1" applyFill="1" applyBorder="1" applyAlignment="1">
      <alignment horizontal="center" vertical="center" wrapText="1"/>
    </xf>
    <xf numFmtId="0" fontId="36" fillId="13" borderId="9" xfId="0" applyFont="1" applyFill="1" applyBorder="1" applyAlignment="1">
      <alignment horizontal="center" vertical="top"/>
    </xf>
    <xf numFmtId="0" fontId="34" fillId="4" borderId="0" xfId="0" applyFont="1" applyFill="1" applyAlignment="1">
      <alignment horizontal="center" vertical="center" wrapText="1"/>
    </xf>
    <xf numFmtId="0" fontId="39" fillId="0" borderId="0" xfId="0" applyFont="1" applyAlignment="1">
      <alignment wrapText="1"/>
    </xf>
    <xf numFmtId="0" fontId="2" fillId="0" borderId="0" xfId="8" applyNumberFormat="1" applyFont="1" applyFill="1" applyAlignment="1">
      <alignment horizontal="left"/>
    </xf>
    <xf numFmtId="0" fontId="2" fillId="0" borderId="0" xfId="8" quotePrefix="1" applyNumberFormat="1" applyFont="1" applyFill="1" applyAlignment="1">
      <alignment horizontal="left"/>
    </xf>
    <xf numFmtId="170" fontId="0" fillId="0" borderId="0" xfId="0" applyNumberFormat="1"/>
    <xf numFmtId="0" fontId="0" fillId="20" borderId="0" xfId="0" applyFill="1" applyAlignment="1">
      <alignment horizontal="left" vertical="center"/>
    </xf>
    <xf numFmtId="0" fontId="0" fillId="20" borderId="0" xfId="0" applyFill="1" applyAlignment="1">
      <alignment horizontal="center"/>
    </xf>
    <xf numFmtId="0" fontId="39" fillId="20" borderId="0" xfId="0" applyFont="1" applyFill="1"/>
    <xf numFmtId="0" fontId="0" fillId="20" borderId="0" xfId="0" applyFill="1"/>
    <xf numFmtId="168" fontId="0" fillId="20" borderId="0" xfId="0" applyNumberFormat="1" applyFill="1" applyAlignment="1">
      <alignment horizontal="center"/>
    </xf>
    <xf numFmtId="170" fontId="33" fillId="20" borderId="0" xfId="8" applyNumberFormat="1" applyFont="1" applyFill="1"/>
    <xf numFmtId="170" fontId="0" fillId="20" borderId="0" xfId="8" applyNumberFormat="1" applyFont="1" applyFill="1" applyAlignment="1">
      <alignment horizontal="center"/>
    </xf>
    <xf numFmtId="170" fontId="2" fillId="20" borderId="0" xfId="8" applyNumberFormat="1" applyFont="1" applyFill="1"/>
    <xf numFmtId="170" fontId="33" fillId="20" borderId="0" xfId="8" quotePrefix="1" applyNumberFormat="1" applyFont="1" applyFill="1"/>
    <xf numFmtId="0" fontId="2" fillId="20" borderId="0" xfId="8" applyNumberFormat="1" applyFont="1" applyFill="1" applyAlignment="1">
      <alignment horizontal="left"/>
    </xf>
    <xf numFmtId="0" fontId="0" fillId="21" borderId="0" xfId="0" applyFill="1" applyAlignment="1">
      <alignment horizontal="center" vertical="center"/>
    </xf>
    <xf numFmtId="0" fontId="0" fillId="21" borderId="0" xfId="0" applyFill="1" applyAlignment="1">
      <alignment horizontal="center"/>
    </xf>
    <xf numFmtId="0" fontId="0" fillId="21" borderId="0" xfId="0" applyFill="1"/>
  </cellXfs>
  <cellStyles count="9">
    <cellStyle name="Comma" xfId="8" builtinId="3"/>
    <cellStyle name="Comma 2 2 2" xfId="5" xr:uid="{577719DB-3EEB-49FB-9780-6CEB437B62C8}"/>
    <cellStyle name="Comma 4 2" xfId="1" xr:uid="{404AEB04-5DAE-41B7-94AD-01BDFBB48120}"/>
    <cellStyle name="Normal" xfId="0" builtinId="0"/>
    <cellStyle name="Normal 4" xfId="2" xr:uid="{B3832413-9DEA-43B7-9048-E3A098AA0D77}"/>
    <cellStyle name="Normal 4 2" xfId="3" xr:uid="{E2D197C0-2A41-4D5C-AFC2-E92E6F00E5B4}"/>
    <cellStyle name="Normal 4 2 2" xfId="4" xr:uid="{31FADA09-CAB6-4952-BA9F-77B9DCA37A7B}"/>
    <cellStyle name="Percent" xfId="7" builtinId="5"/>
    <cellStyle name="Percent 2" xfId="6" xr:uid="{23BE9040-2801-40D5-AF19-4060AD386E51}"/>
  </cellStyles>
  <dxfs count="207">
    <dxf>
      <fill>
        <patternFill patternType="solid">
          <fgColor indexed="64"/>
          <bgColor theme="1"/>
        </patternFill>
      </fill>
    </dxf>
    <dxf>
      <alignment horizontal="center"/>
    </dxf>
    <dxf>
      <alignment horizontal="center"/>
    </dxf>
    <dxf>
      <fill>
        <patternFill>
          <fgColor indexed="64"/>
          <bgColor theme="1"/>
        </patternFill>
      </fill>
    </dxf>
    <dxf>
      <fill>
        <patternFill>
          <fgColor indexed="64"/>
          <bgColor theme="1"/>
        </patternFill>
      </fill>
      <alignment horizontal="general" vertical="center"/>
    </dxf>
    <dxf>
      <alignment horizontal="left" vertical="cent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ont>
        <b val="0"/>
        <i val="0"/>
        <strike val="0"/>
        <condense val="0"/>
        <extend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9" formatCode="[$-409]mmmmm\-yy;@"/>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Times New Roman"/>
        <family val="1"/>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charset val="204"/>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dxf>
    <dxf>
      <numFmt numFmtId="0" formatCode="General"/>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fill>
        <patternFill patternType="none">
          <fgColor indexed="64"/>
          <bgColor auto="1"/>
        </patternFill>
      </fill>
      <border diagonalUp="0" diagonalDown="0" outline="0">
        <left/>
        <right/>
        <top style="thin">
          <color theme="1"/>
        </top>
        <bottom style="thin">
          <color theme="1"/>
        </bottom>
      </border>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center"/>
    </dxf>
    <dxf>
      <fill>
        <patternFill patternType="none">
          <fgColor indexed="64"/>
          <bgColor auto="1"/>
        </patternFill>
      </fill>
      <alignment horizontal="center"/>
    </dxf>
    <dxf>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none"/>
      </font>
      <numFmt numFmtId="170" formatCode="_(* #,##0_);_(* \(#,##0\);_(* &quot;-&quot;??_);_(@_)"/>
      <fill>
        <patternFill patternType="none">
          <fgColor indexed="64"/>
          <bgColor auto="1"/>
        </patternFill>
      </fill>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alignment horizontal="center"/>
    </dxf>
    <dxf>
      <alignment horizontal="center"/>
    </dxf>
    <dxf>
      <alignment horizontal="center"/>
    </dxf>
    <dxf>
      <numFmt numFmtId="168" formatCode="yyyy\-mm\-dd;@"/>
      <alignment horizontal="center"/>
    </dxf>
    <dxf>
      <numFmt numFmtId="168" formatCode="yyyy\-mm\-dd;@"/>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numFmt numFmtId="0" formatCode="General"/>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i val="0"/>
        <strike val="0"/>
        <condense val="0"/>
        <extend val="0"/>
        <outline val="0"/>
        <shadow val="0"/>
        <u val="none"/>
        <vertAlign val="baseline"/>
        <sz val="9"/>
        <color rgb="FF000000"/>
        <name val="Segoe UI"/>
        <family val="2"/>
        <scheme val="none"/>
      </font>
      <fill>
        <patternFill patternType="solid">
          <fgColor rgb="FF000000"/>
          <bgColor rgb="FFFFCC99"/>
        </patternFill>
      </fill>
      <alignment horizontal="center" vertical="center" textRotation="0" wrapText="1" indent="0" justifyLastLine="0" shrinkToFit="0" readingOrder="0"/>
    </dxf>
  </dxfs>
  <tableStyles count="1" defaultTableStyle="TableStyleMedium2" defaultPivotStyle="PivotStyleMedium9">
    <tableStyle name="Invisible" pivot="0" table="0" count="0" xr9:uid="{6CA14112-6405-436D-B39E-FE9DB2E3683B}"/>
  </tableStyles>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079F2A-151D-45FF-BB5F-2160E1FE0BFB}" name="Table8" displayName="Table8" ref="A3:CP370" totalsRowShown="0" headerRowDxfId="206">
  <autoFilter ref="A3:CP370" xr:uid="{4A079F2A-151D-45FF-BB5F-2160E1FE0BFB}"/>
  <tableColumns count="94">
    <tableColumn id="1" xr3:uid="{85038D36-0951-4F94-8F85-1FCD74BD8D9E}" name="Row No"/>
    <tableColumn id="3" xr3:uid="{0BF258FF-FF2D-4204-B082-242614E38459}" name="Project Name(s)" dataDxfId="5"/>
    <tableColumn id="4" xr3:uid="{0683BF1F-8B89-4C19-B8C4-66D18DD085D1}" name="Latitude" dataDxfId="4"/>
    <tableColumn id="5" xr3:uid="{379AB023-6FCD-499C-99A7-E9B5740F1FA9}" name="Longitude" dataDxfId="3"/>
    <tableColumn id="6" xr3:uid="{9C293C9F-4B8F-4A0A-9702-FB2D89DE5C63}" name="Location"/>
    <tableColumn id="7" xr3:uid="{E6D66DA1-B111-4539-AED6-487A3E27750A}" name="Project Description"/>
    <tableColumn id="8" xr3:uid="{7107565E-A8B7-4706-B000-71B18A9DA7D2}" name="Project Description - What" dataDxfId="205"/>
    <tableColumn id="9" xr3:uid="{D6A33038-E719-4D49-9080-8212B53C8E48}" name="Project Description - Action Taken" dataDxfId="204"/>
    <tableColumn id="10" xr3:uid="{34033BCE-921F-4BAD-9FAB-B15501E53697}" name="Project Description - Action Taken (2)" dataDxfId="203"/>
    <tableColumn id="11" xr3:uid="{55AE15D6-25E1-414B-9E6A-69DB16652ED0}" name="Project Dependencies" dataDxfId="202"/>
    <tableColumn id="12" xr3:uid="{FB69ED9D-3922-4AED-B766-F0E7C1934CA3}" name="Primary Purpose" dataDxfId="201"/>
    <tableColumn id="13" xr3:uid="{6D094EFE-86AF-453B-A058-D4D532E076A9}" name="Secondary Purpose" dataDxfId="200"/>
    <tableColumn id="14" xr3:uid="{ACEB4917-F5B1-4D24-BD17-112C65990125}" name="NERC/WECC/CAISO Standard/Requirement/Contingency " dataDxfId="199"/>
    <tableColumn id="15" xr3:uid="{F6FC777C-601B-4977-8378-7D835FC20B23}" name="NERC/WECC/CAISO Standard/Requirement/Contingency (2)" dataDxfId="198"/>
    <tableColumn id="16" xr3:uid="{2DB1DC09-AF7F-4F25-BB6E-7882F768E248}" name="Last Inspection" dataDxfId="197"/>
    <tableColumn id="17" xr3:uid="{7938FD3F-576D-4780-94F3-A02BB212DE71}" name="Age of Asset" dataDxfId="196"/>
    <tableColumn id="18" xr3:uid="{5ADBF117-0160-4E8D-A3FA-A5CF5A10CB47}" name="Types of Analyses" dataDxfId="195"/>
    <tableColumn id="19" xr3:uid="{1FF61209-26A9-45AD-8B55-EDD2F1EEDB2F}" name="Alternative Solutions and Costs - Solutions" dataDxfId="194"/>
    <tableColumn id="20" xr3:uid="{3DA0CBB9-79EF-4F47-9FEB-21DD8F9F0F06}" name="Alternative Solutions and Costs - Costs" dataDxfId="193"/>
    <tableColumn id="21" xr3:uid="{1E1FBFCB-5E32-4EA6-BFA2-736BC1045FF9}" name="CPUC Fire Threat Zone/Rating" dataDxfId="192"/>
    <tableColumn id="22" xr3:uid="{EE678F18-A8F7-4099-9224-2A8800B32CBB}" name="Wildfire Related" dataDxfId="191"/>
    <tableColumn id="23" xr3:uid="{F2C5B7B5-FAE8-428A-92FF-82D98CCE6B1D}" name="RAMP" dataDxfId="190"/>
    <tableColumn id="24" xr3:uid="{580DE522-9F1F-4A99-9E8F-433C4995008F}" name="Other Environmental Factors" dataDxfId="2"/>
    <tableColumn id="25" xr3:uid="{B4A63F93-0E87-42CA-BF7A-FE54A7D4607D}" name="Project Manager" dataDxfId="0"/>
    <tableColumn id="26" xr3:uid="{498E1691-A8C2-4046-ACCB-6A3D16227501}" name="Transmission Project Size (length in miles)" dataDxfId="1"/>
    <tableColumn id="27" xr3:uid="{0E52B3EF-2AC5-42BE-A741-A574C3A619C5}" name="Substation Project Footprint (acres)" dataDxfId="189"/>
    <tableColumn id="28" xr3:uid="{04E833A1-E98F-442E-86ED-A7D239F82C5D}" name="Transmission Voltage Level (kV)" dataDxfId="188"/>
    <tableColumn id="29" xr3:uid="{B6D440C4-55EB-40B4-A962-946EAFF2F60E}" name="Substation or Transformer Capacity (MVA and/or kV)" dataDxfId="187"/>
    <tableColumn id="30" xr3:uid="{AC716E6E-289A-42BF-B7F8-2BC0FF141F63}" name="Utility Prioritization Ranking" dataDxfId="186"/>
    <tableColumn id="31" xr3:uid="{89351DB4-8924-4BCD-BD03-648C1F313A7F}" name="Utility Unique ID #1(Most Specific)" dataDxfId="185"/>
    <tableColumn id="32" xr3:uid="{F9ABB550-BC99-4CAB-9290-9154C07C5B05}" name="Utility Unique ID #2 (Less Specific)" dataDxfId="184"/>
    <tableColumn id="33" xr3:uid="{6C4CE43E-68A6-4469-B9E0-65B846FBE9C7}" name="Total Number of Projects under Parent Work Order" dataDxfId="183"/>
    <tableColumn id="34" xr3:uid="{308F63F1-6218-4370-BC6A-5682E6C1613A}" name="Utility Unique ID #3 (Least Specific)" dataDxfId="182"/>
    <tableColumn id="35" xr3:uid="{2407E8A1-E7FC-43D1-A696-4CC7BE25AB61}" name="Changes in Unique IDs" dataDxfId="181"/>
    <tableColumn id="36" xr3:uid="{B7442444-8960-48E3-A450-8F610EF8BEE3}" name="Utility Approval" dataDxfId="180"/>
    <tableColumn id="37" xr3:uid="{D534CD10-47CD-4B98-85EF-98C8C3471EF4}" name="Year of Internal Utility Approval" dataDxfId="179"/>
    <tableColumn id="38" xr3:uid="{B31DC431-E257-457C-92E5-CAB8F87295B6}" name="Process(es) for Utility Approval" dataDxfId="178"/>
    <tableColumn id="39" xr3:uid="{DBC75B90-3894-4A8E-9AD5-EF536893A0B9}" name="Long term Transmission Investment Plan Inclusion" dataDxfId="177"/>
    <tableColumn id="40" xr3:uid="{41BFB0F1-EB07-4EF4-9BDD-9EABCB128CE2}" name="CAISO Year" dataDxfId="176"/>
    <tableColumn id="41" xr3:uid="{55A27BAA-1AA4-47B5-B249-BDF560B483E2}" name="TPP Phase 3" dataDxfId="175"/>
    <tableColumn id="42" xr3:uid="{2B4D71C6-E1E4-4B76-A7F7-4999F21D9577}" name="Year(s) when considered in CAISO TPP" dataDxfId="174"/>
    <tableColumn id="43" xr3:uid="{CDD19E7B-A9AE-4531-9041-C54E05E0508E}" name="Year when expected to be considered in CAISO TPP" dataDxfId="173"/>
    <tableColumn id="44" xr3:uid="{E08F6A50-1665-4D1F-9ECE-0E3F08BB139F}" name="Link to TPP where project has been considered, approved, and/or expected to be considered" dataDxfId="172"/>
    <tableColumn id="45" xr3:uid="{930ACBFA-A446-4126-B459-32758AE92FFA}" name="GIDAP-Related" dataDxfId="171"/>
    <tableColumn id="46" xr3:uid="{05A2FBDC-55EA-47A7-9E46-C27346990F3C}" name="CEQA Status" dataDxfId="170"/>
    <tableColumn id="47" xr3:uid="{4A4BE61A-D43D-433E-8DC7-4089FA70F9FC}" name="CEQA Status - Date" dataDxfId="169"/>
    <tableColumn id="48" xr3:uid="{A892AEDF-4547-4F9A-99B3-FE5716B98106}" name="CEQA Document Type" dataDxfId="168"/>
    <tableColumn id="49" xr3:uid="{37E994E7-93B3-4174-91A9-C6E3E8846204}" name="NEPA Document Type" dataDxfId="167"/>
    <tableColumn id="50" xr3:uid="{FF98A9DB-BF69-444B-9A2B-6266D8B0F8F9}" name="CEQA Lead Agency" dataDxfId="166"/>
    <tableColumn id="51" xr3:uid="{BC3C465E-68ED-419C-AB84-756D45CAC056}" name="NEPA Lead Agency" dataDxfId="165"/>
    <tableColumn id="52" xr3:uid="{68BFD62A-D722-4198-B943-91D13A5DF819}" name="CPUC Filing Type" dataDxfId="164"/>
    <tableColumn id="53" xr3:uid="{47C6A247-2240-493F-8721-AC700C16ED00}" name="CPUC Date Filed" dataDxfId="163"/>
    <tableColumn id="54" xr3:uid="{6BDBF10E-AB57-4707-BE33-69132523EB2F}" name="CPUC Status" dataDxfId="162"/>
    <tableColumn id="55" xr3:uid="{F17E10CF-572D-4715-B3B9-A6765261477C}" name="CPUC Status - Year" dataDxfId="161"/>
    <tableColumn id="56" xr3:uid="{6EA1796E-DFA6-4BFB-88E1-9D14C3DB43C3}" name="Project Status" dataDxfId="160"/>
    <tableColumn id="57" xr3:uid="{3BA0EAFD-01B4-4740-9DEA-8DD452660814}" name="AACE Class" dataDxfId="159"/>
    <tableColumn id="58" xr3:uid="{019AC7BD-A784-452C-A885-53FEFA260867}" name="Construction Start Date" dataDxfId="158"/>
    <tableColumn id="59" xr3:uid="{461DD2E4-C9D0-41EB-BE6A-44AAD8321E77}" name="Original Planned In-Service Date" dataDxfId="157"/>
    <tableColumn id="60" xr3:uid="{7FD5E802-1076-4CF9-A787-F28DD4D1B7B9}" name="Current Projected or Actual In-Service Date" dataDxfId="156"/>
    <tableColumn id="61" xr3:uid="{BB1DDD1B-192F-44C9-AEFB-EC7B29FDB848}" name="Reason for Change in In-Service Date" dataDxfId="155"/>
    <tableColumn id="62" xr3:uid="{CB20A8F4-4931-4FF1-885B-D03EE702DA02}" name="Reason for Change in In-Service Date (2)" dataDxfId="154"/>
    <tableColumn id="63" xr3:uid="{FC001572-7370-47BB-9026-FC9ADEC001B2}" name="In-Flight Projects" dataDxfId="153"/>
    <tableColumn id="64" xr3:uid="{D8D5EE85-D1D6-43D1-83CB-6371C1D71B5A}" name="Original Projected Cost or Cost Range ($000)" dataDxfId="152" dataCellStyle="Comma"/>
    <tableColumn id="65" xr3:uid="{601A2616-2879-444A-A392-98F70AE0954A}" name="Cost Cap ($000)" dataDxfId="151" dataCellStyle="Comma"/>
    <tableColumn id="66" xr3:uid="{F44E005D-C9B8-47D1-BEDC-10AA901935CA}" name="Current Projected Total or Actual Final Cost ($000)" dataDxfId="150" dataCellStyle="Comma"/>
    <tableColumn id="67" xr3:uid="{4D828BFB-6421-43C6-BCA3-AA39D36653A3}" name="Actual Capital Expenditures 2020 ($000)" dataDxfId="149" dataCellStyle="Comma"/>
    <tableColumn id="68" xr3:uid="{E24C8328-324E-40C5-9EF7-4AD4AF79A748}" name="Actual Capital Expenditures 2021 ($000)" dataDxfId="148" dataCellStyle="Comma"/>
    <tableColumn id="69" xr3:uid="{87655EFE-E22D-4152-A246-8A32F53EAE3C}" name="Actual Capital Expenditures 2022 ($000)" dataDxfId="147" dataCellStyle="Comma"/>
    <tableColumn id="70" xr3:uid="{A43670C3-0CE0-44E6-BFA5-557E71060A39}" name="Actual Capital Expenditures 2023 ($000)" dataDxfId="146" dataCellStyle="Comma"/>
    <tableColumn id="71" xr3:uid="{A76CD6A9-C3CF-4341-834B-89919504B2DF}" name="Actual Capital Expenditures 2024 ($000)" dataDxfId="145" dataCellStyle="Comma"/>
    <tableColumn id="101" xr3:uid="{1D542781-FEC2-4885-B3E5-AC136E251E39}" name="Actual Capital Expenditures 2025($000)" dataDxfId="144" dataCellStyle="Comma"/>
    <tableColumn id="73" xr3:uid="{F5FF9A44-7977-4122-A617-BD9A640546C2}" name="Projected Capital Expenditures 2025 ($0000)" dataDxfId="143" dataCellStyle="Comma"/>
    <tableColumn id="74" xr3:uid="{D1C18B9D-E842-44C6-90B9-4C0D67DD4C48}" name="Projected Capital Expenditures 2026 ($000)" dataDxfId="142" dataCellStyle="Comma"/>
    <tableColumn id="75" xr3:uid="{D7785289-F15C-4CB8-9E24-F8A4F349B14C}" name="Projected Capital Expenditures 2027 ($000)" dataDxfId="141" dataCellStyle="Comma"/>
    <tableColumn id="76" xr3:uid="{8B708B07-DD13-4E9E-8BA0-B96A3F4F443D}" name="Projected Capital Expenditures 2028 ($000)" dataDxfId="140" dataCellStyle="Comma"/>
    <tableColumn id="77" xr3:uid="{7184055C-7B9A-4870-95D7-9593E41F6128}" name="Projected Capital Expenditures 2029 ($000)" dataDxfId="139" dataCellStyle="Comma"/>
    <tableColumn id="78" xr3:uid="{A94DE8CD-35D3-4655-9128-ED8F38C4BB82}" name="Construction Work in Progress ($000)" dataDxfId="138" dataCellStyle="Comma"/>
    <tableColumn id="79" xr3:uid="{45522DFE-C0FB-43DF-BD40-C5AA042020A0}" name="Accrued Overhead ($000)" dataDxfId="137" dataCellStyle="Comma"/>
    <tableColumn id="80" xr3:uid="{4F388A45-28FC-413C-8316-F41E83017985}" name="Accrued AFUDC ($000)" dataDxfId="136" dataCellStyle="Comma"/>
    <tableColumn id="81" xr3:uid="{97926FD4-C914-472C-9BBD-88907096FDCF}" name="FERC: Year(s)" dataDxfId="135" dataCellStyle="Comma"/>
    <tableColumn id="82" xr3:uid="{4EA1936A-0A3A-41E9-A70B-56649815F453}" name="2020 Actual FERC Dollars Ratebased ($000) " dataDxfId="134" dataCellStyle="Comma"/>
    <tableColumn id="83" xr3:uid="{0AEDE61C-244B-47B7-A60D-E68B42B297E7}" name=" 2021 Actual FERC Dollars Ratebased ($000) " dataDxfId="133" dataCellStyle="Comma"/>
    <tableColumn id="84" xr3:uid="{5857FE0E-583E-4A96-BD4A-5FAA2254F9EF}" name=" 2022 Actual FERC Dollars Ratebased ($000) " dataDxfId="132" dataCellStyle="Comma"/>
    <tableColumn id="85" xr3:uid="{57E0E7D6-B4F3-4046-A99A-D435F544EFCF}" name=" 2023 Actual FERC Dollars Ratebased ($000) " dataDxfId="131" dataCellStyle="Comma"/>
    <tableColumn id="86" xr3:uid="{0A6BFA84-9C0A-4329-8F09-18C7FCBF16C4}" name=" 2024 Actual FERC Dollars Ratebased ($000)" dataDxfId="130" dataCellStyle="Comma"/>
    <tableColumn id="87" xr3:uid="{8839E535-6034-4837-BD75-5BB3FBC0C865}" name=" 2025 Actual FERC Dollars Ratebased ($000)" dataDxfId="129" dataCellStyle="Comma"/>
    <tableColumn id="105" xr3:uid="{2E8604EC-8B70-4EDC-99AE-B7455C1ACC65}" name=" 2025 Projected FERC Dollars Ratebased ($000)" dataDxfId="128" dataCellStyle="Comma"/>
    <tableColumn id="88" xr3:uid="{EEA44252-9E37-4CA6-903E-150FCEB88F22}" name="Percentage of Bid" dataDxfId="127"/>
    <tableColumn id="89" xr3:uid="{4998CC42-7A8C-4FEB-992E-3AC594935F9A}" name="Percentage and Value ($000) of Work Requested by Others Passed onto Ratepayers" dataDxfId="126"/>
    <tableColumn id="90" xr3:uid="{F43CD1DF-CBE0-4297-8557-93E0F5CD2442}" name="Cost-Benefit Analysis " dataDxfId="125"/>
    <tableColumn id="91" xr3:uid="{B143AC81-2C3C-4768-A762-B4A7BB06CA0A}" name="FERC Incentives" dataDxfId="124"/>
    <tableColumn id="92" xr3:uid="{756C9359-48B0-4CCA-AE1F-FEC42C798EF6}" name="Percentage of Cost in High Voltage TAC" dataDxfId="123" dataCellStyle="Percent"/>
    <tableColumn id="93" xr3:uid="{478CF42B-1845-471C-93D3-7FC77B37E7AB}" name="Percentage of Cost in Low Voltage TAC" dataDxfId="122" dataCellStyle="Percent"/>
    <tableColumn id="97" xr3:uid="{84E70DE6-995C-4019-938C-BA873BF0DB47}" name="New Notes" dataDxfId="12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44BB45-9DE1-4A64-AEE8-2BD8B23B32D1}" name="Table1" displayName="Table1" ref="A1:H93" totalsRowShown="0" headerRowDxfId="120" dataDxfId="119">
  <autoFilter ref="A1:H93" xr:uid="{5A44BB45-9DE1-4A64-AEE8-2BD8B23B32D1}"/>
  <tableColumns count="8">
    <tableColumn id="1" xr3:uid="{72F16E4D-690E-426E-9B48-E5855DFFD9BD}" name="Category" dataDxfId="118"/>
    <tableColumn id="2" xr3:uid="{EEEA3E0C-6CD3-4D77-9CE1-6F13D0520DCD}" name="Sorting Order" dataDxfId="117"/>
    <tableColumn id="3" xr3:uid="{AFBD7826-B3F5-459A-B93C-7BB00A22DFBB}" name="Data Field #" dataDxfId="116"/>
    <tableColumn id="4" xr3:uid="{02D35D49-E343-4DF9-A03F-868D19465674}" name="Transmission Project Data Field" dataDxfId="115"/>
    <tableColumn id="5" xr3:uid="{094D7B6A-CE26-404C-B520-6CD82DE3AED7}" name="Format" dataDxfId="114"/>
    <tableColumn id="6" xr3:uid="{3F2AED79-7C56-4464-9BAD-08C7B3656F87}" name="Example" dataDxfId="113"/>
    <tableColumn id="7" xr3:uid="{DC7C08B9-6AD0-46FF-BEFD-AD120BBE8E61}" name="Input Terms and Descriptions" dataDxfId="112"/>
    <tableColumn id="8" xr3:uid="{E46ECE7D-5DE0-4DA0-B05C-0F4CBC2485BB}" name="Column1" dataDxfId="1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10" dataDxfId="109" headerRowCellStyle="Normal 4" dataCellStyle="Normal 4">
  <autoFilter ref="A1:P78" xr:uid="{4CD9AB78-22F0-4944-BEA5-3517059853BE}"/>
  <tableColumns count="16">
    <tableColumn id="1" xr3:uid="{534F4D80-9E9E-41C5-AC00-34051DEB8A16}" name="06. Project Description - What" dataDxfId="108" dataCellStyle="Normal 4"/>
    <tableColumn id="2" xr3:uid="{726BFC81-4793-4E92-8462-3FF238AE6D16}" name="07. Project Description - Action taken" dataDxfId="107" dataCellStyle="Normal 4"/>
    <tableColumn id="3" xr3:uid="{2B250184-1E60-4417-A806-2139E68E43D6}" name="09. Primary Purpose" dataDxfId="106" dataCellStyle="Normal 4"/>
    <tableColumn id="4" xr3:uid="{5EB86798-26A0-4089-984F-FDE2EC82472D}" name="10. Secondary Purpose" dataDxfId="105" dataCellStyle="Normal 4"/>
    <tableColumn id="5" xr3:uid="{F26F65DC-3D41-41C6-B875-8B436FFC43D5}" name="11. NERC/WECC/CAISO Standard/Requirement/Contingency" dataDxfId="104" dataCellStyle="Normal 4"/>
    <tableColumn id="6" xr3:uid="{352400EC-2DC8-48CE-9685-58B2443F52BB}" name="14. Types of Analyses" dataDxfId="103" dataCellStyle="Normal 4"/>
    <tableColumn id="7" xr3:uid="{CEDFE2FD-9CC1-4D62-B383-BD965BBD244C}" name="15a. Alternative Solutions and Costs - Solutions" dataDxfId="102" dataCellStyle="Normal 4"/>
    <tableColumn id="8" xr3:uid="{2454F40F-D3DA-41C0-87CD-03588B427933}" name="15b. Alternative Solutions and Costs - Costs" dataDxfId="101" dataCellStyle="Normal 4"/>
    <tableColumn id="9" xr3:uid="{F5DDEB24-13E5-425E-9754-CD63A01EE12D}" name="40. CEQA Status" dataDxfId="100" dataCellStyle="Normal 4"/>
    <tableColumn id="10" xr3:uid="{99E71DAA-B0E1-4376-BD01-7A606657D662}" name="41a. CEQA Document Type" dataDxfId="99" dataCellStyle="Normal 4"/>
    <tableColumn id="11" xr3:uid="{6670594F-DF27-4903-9AE8-2DD9540EC66A}" name="41b. NEPA Document Type" dataDxfId="98" dataCellStyle="Normal 4"/>
    <tableColumn id="12" xr3:uid="{C77B86E6-45EC-4DCF-B12C-D0D890CE196E}" name="45. CPUC Status" dataDxfId="97" dataCellStyle="Normal 4"/>
    <tableColumn id="13" xr3:uid="{CBEB37F3-D3FD-416C-B4B3-15BD8E74077B}" name="47. Project Status" dataDxfId="96" dataCellStyle="Normal 4"/>
    <tableColumn id="14" xr3:uid="{683E2FE1-6483-4DE1-B98D-9C9067828F1D}" name="48. AACE Class" dataDxfId="95" dataCellStyle="Normal 4"/>
    <tableColumn id="15" xr3:uid="{1B6BC954-E8E8-4B7A-9B3D-D172A8AFC58A}" name="52. Reason for Change in In-Service Date" dataDxfId="94" dataCellStyle="Normal 4"/>
    <tableColumn id="17" xr3:uid="{F4642E52-02D1-4135-BD65-F499597787EA}" name="Complete " dataDxfId="93" dataCellStyle="Normal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2DC991-C6D6-4A04-A7E2-257BAC1A3278}" name="Table222" displayName="Table222" ref="A1:DK383" totalsRowShown="0" headerRowDxfId="92">
  <autoFilter ref="A1:DK383" xr:uid="{062DC991-C6D6-4A04-A7E2-257BAC1A3278}"/>
  <tableColumns count="115">
    <tableColumn id="1" xr3:uid="{8B50A0E6-749E-4257-A438-12FD6E6A98B7}" name="Row" dataDxfId="91"/>
    <tableColumn id="2" xr3:uid="{AC0A5B4D-83D8-40B8-A148-CB8004E50346}" name="ProjectName(R)" dataDxfId="90"/>
    <tableColumn id="3" xr3:uid="{E21E6AFD-E747-4D53-B27F-26976FA4AD18}" name="Latitude(R)" dataDxfId="89"/>
    <tableColumn id="4" xr3:uid="{214DD3BA-91EA-4EF4-B354-559BF739BBB5}" name="Longitude(R)" dataDxfId="88"/>
    <tableColumn id="5" xr3:uid="{5CC75EF3-EFA4-4A78-B681-C104B6CD0432}" name="Location(R)" dataDxfId="87"/>
    <tableColumn id="6" xr3:uid="{A349E56A-4FCF-4C4F-8788-786A0498B9E1}" name="Project Description((R)" dataDxfId="86"/>
    <tableColumn id="7" xr3:uid="{46530DA9-5976-49DB-8D4E-92744FA4AE0D}" name="Project Description - What" dataDxfId="85"/>
    <tableColumn id="8" xr3:uid="{7B909275-6B92-45E6-9709-83E7B7C2F279}" name="Project Description - Action Taken" dataDxfId="84"/>
    <tableColumn id="9" xr3:uid="{18DF8D23-C494-4D9D-990B-14BE55FEA3FC}" name="Project Description - Action Taken (2)" dataDxfId="83"/>
    <tableColumn id="10" xr3:uid="{06A5DD5B-F4DD-4740-9062-1C1A4ADF86EA}" name="Project Dependencies" dataDxfId="82"/>
    <tableColumn id="11" xr3:uid="{74593B63-B4C3-4D6E-B9A2-01FD26ECD807}" name="Primary Purpose" dataDxfId="81"/>
    <tableColumn id="12" xr3:uid="{1178FF3F-C96D-49D4-BD05-CA6344157EC3}" name="Secondary Purpose" dataDxfId="80"/>
    <tableColumn id="13" xr3:uid="{9A1EBF88-AC06-4DB9-B301-258B1EF5CA39}" name="NERC/WECC/CAISO Standard/Requirement/Contingency " dataDxfId="79"/>
    <tableColumn id="14" xr3:uid="{1968A31E-B9CC-4967-89CC-10A3B8B1A98F}" name="NERC/WECC/CAISO Standard/Requirement/Contingency (2)" dataDxfId="78"/>
    <tableColumn id="15" xr3:uid="{2AC0055B-9C45-4456-80EB-84E60B8FE958}" name="Last Inspection(R)" dataDxfId="77"/>
    <tableColumn id="16" xr3:uid="{1E2FC4A1-C8EA-4FBC-A3DC-20693BC01D90}" name="Last-Inspection(na)"/>
    <tableColumn id="17" xr3:uid="{C3BB2C69-6186-4BF2-809E-F8FA0062C903}" name="Age of Asset(R)" dataDxfId="76"/>
    <tableColumn id="18" xr3:uid="{6D145D53-82E5-4081-91CC-9BA0263F4AD8}" name="Types of Analyses(R)" dataDxfId="75"/>
    <tableColumn id="19" xr3:uid="{8E00F472-15CA-47E7-BBC5-6CE0DE01F746}" name="Alternative Solutions and Costs - Solutions(R)" dataDxfId="74"/>
    <tableColumn id="20" xr3:uid="{FEF32403-87B3-4AF8-9790-899F7D9AE708}" name="Alternative Solutions and Costs - Costs(R)" dataDxfId="73"/>
    <tableColumn id="21" xr3:uid="{939CD030-B9C2-4216-8E89-262173291D14}" name="CPUC Fire Threat Zone/Rating(R)" dataDxfId="72"/>
    <tableColumn id="22" xr3:uid="{11962C57-5EE5-4C43-8F85-920D39B049E8}" name="Wildfire Related" dataDxfId="71"/>
    <tableColumn id="23" xr3:uid="{BCB3A936-F2E8-4F57-8455-31F5BBFF8C64}" name="RAMP" dataDxfId="70"/>
    <tableColumn id="24" xr3:uid="{47DC64EB-BA33-49D0-AC6F-4849221D7FEE}" name="Other Environmental Factors(R)" dataDxfId="69"/>
    <tableColumn id="25" xr3:uid="{1C4277B1-B745-4E2E-9D1F-BFE59431C450}" name="Manager" dataDxfId="68"/>
    <tableColumn id="26" xr3:uid="{B9DB8967-DD18-46B1-8389-37E17034CD38}" name="Email"/>
    <tableColumn id="27" xr3:uid="{856C30FC-3E38-4B7E-8B68-1B77A45EBF89}" name="Transmission Project Size (length in miles)(R)" dataDxfId="67"/>
    <tableColumn id="28" xr3:uid="{BF369F74-3755-4583-87FA-5149A5D23A85}" name="Substation Project Footprint (acres)(R)" dataDxfId="66"/>
    <tableColumn id="29" xr3:uid="{F0088139-6E92-40BB-A875-BDEB68C0A653}" name="Transmission Voltage Level (kV)" dataDxfId="65"/>
    <tableColumn id="30" xr3:uid="{9BD6AC19-5C8F-4299-97B8-C4FFBF6FA7F7}" name="Substation or Transformer Capacity (MVA and/or kV)" dataDxfId="64"/>
    <tableColumn id="31" xr3:uid="{9433EA3B-5C24-46C8-93A2-E208E6F4A556}" name="Utility Prioritization Ranking(R)" dataDxfId="63"/>
    <tableColumn id="32" xr3:uid="{78427F15-D12B-4BC1-A6D0-966251A037D5}" name="Utility Unique ID #1(Most Specific)(R)" dataDxfId="62"/>
    <tableColumn id="33" xr3:uid="{06B9D280-3B58-48DA-911F-6EE2821DEEC6}" name="Utility Unique ID #2 (Less Specific)(R)" dataDxfId="61"/>
    <tableColumn id="34" xr3:uid="{AA79982B-156A-4E88-A21E-26543222DE2A}" name="Internal (Child Work Orders)" dataDxfId="60"/>
    <tableColumn id="35" xr3:uid="{8C640605-1AE4-4B36-AD33-ABA07EA68ECC}" name="Total Number of Projects under Parent Work Order" dataDxfId="59"/>
    <tableColumn id="36" xr3:uid="{1E575DE7-5EFF-496C-8BC0-AC7CAADC17B0}" name="Utility Unique ID #3 (Least Specific)(R)" dataDxfId="58"/>
    <tableColumn id="37" xr3:uid="{47F3B007-0C77-4004-B0B9-2879BFB7B95F}" name="Changes in Unique IDs" dataDxfId="57"/>
    <tableColumn id="38" xr3:uid="{02950DE0-9AB8-45AB-B38A-4D312AFFED62}" name="Utility Approval(R)" dataDxfId="56"/>
    <tableColumn id="39" xr3:uid="{F989BFD5-0E07-4C46-B4D8-A129C709CB84}" name="Year of Internal Utility Approval" dataDxfId="55"/>
    <tableColumn id="40" xr3:uid="{C039456D-F825-412A-8276-06CEEA218344}" name="Process(es) for Utility Approval" dataDxfId="54"/>
    <tableColumn id="41" xr3:uid="{EF3EC7FB-D08F-45A6-9351-0B75A613CFAB}" name="Long term Transmission Investment Plan Inclusion(R)" dataDxfId="53"/>
    <tableColumn id="42" xr3:uid="{04E517F7-A1B3-43A2-9BB0-3D9F6E14E49E}" name="CAISO Year(R)"/>
    <tableColumn id="43" xr3:uid="{9832D16C-49D0-4378-9D90-C866D002B776}" name="TPP Phase 3(R)" dataDxfId="52"/>
    <tableColumn id="44" xr3:uid="{69FBC4D5-9156-4CE6-B58C-18A318EE693A}" name="Year(s) when considered in CAISO TPP(R)" dataDxfId="51"/>
    <tableColumn id="45" xr3:uid="{D08A5053-31B9-4E46-968F-871EB72B9E5E}" name="Year when expected to be considered in CAISO TPP(R)" dataDxfId="50"/>
    <tableColumn id="46" xr3:uid="{1F690B48-F83E-47CD-AC78-1957093DEFE2}" name="Link to TPP where project has been considered, approved, and/or expected to be considered(R)" dataDxfId="49"/>
    <tableColumn id="47" xr3:uid="{863C5BCE-EEE0-42FF-B50C-4E9432B88A06}" name="GIDAP-Related" dataDxfId="48"/>
    <tableColumn id="48" xr3:uid="{CACAF24F-AA7E-408B-BE5C-0CA46850EC01}" name="CEQA Status(R)" dataDxfId="47"/>
    <tableColumn id="49" xr3:uid="{A5A464E5-5AB7-40C4-BD38-D153C966EA95}" name="CEQA Status - Date(R)" dataDxfId="46"/>
    <tableColumn id="50" xr3:uid="{2C28B1D2-5BEF-45C8-8CEB-A9D563F978D0}" name="CEQA Status - Date(R)(ifna)"/>
    <tableColumn id="51" xr3:uid="{82D96DD1-FAD6-46EC-B1A7-04143563E669}" name="CEQA Document Type(R)" dataDxfId="45"/>
    <tableColumn id="52" xr3:uid="{20C49AA8-52AB-49BB-8EA1-CA9D468D318B}" name="NEPA Document Type(R)" dataDxfId="44"/>
    <tableColumn id="53" xr3:uid="{64337EBD-0B15-434C-B321-154AE394AB94}" name="CEQA Lead Agency(R)" dataDxfId="43"/>
    <tableColumn id="54" xr3:uid="{09398D91-B1DB-41A5-9B1B-580926103ACF}" name="NEPA Lead Agency(R)" dataDxfId="42"/>
    <tableColumn id="55" xr3:uid="{DC31F472-E9E6-44C4-B71D-CC7934970944}" name="CPUC Filing Type(R)" dataDxfId="41"/>
    <tableColumn id="56" xr3:uid="{D301437F-A19E-478F-8D39-D441F5D956E2}" name="CPUC Date Filed(R)" dataDxfId="40"/>
    <tableColumn id="57" xr3:uid="{3A214643-7C90-4EC6-B01F-174103D07B33}" name="CPUC Status(R)" dataDxfId="39"/>
    <tableColumn id="58" xr3:uid="{058FF523-1023-47E8-86AE-D4AFE46611EC}" name="CPUC Status - Year(R)" dataDxfId="38"/>
    <tableColumn id="59" xr3:uid="{63EF5A31-A018-4CEB-8DBF-8BD6D3F3434C}" name="Project Status" dataDxfId="37"/>
    <tableColumn id="60" xr3:uid="{CD7CEB8E-64C9-4341-BB00-A048249724E7}" name="AACE Class" dataDxfId="36"/>
    <tableColumn id="61" xr3:uid="{94B8ACCB-FF0C-4A0D-82EB-535BA91F1463}" name="Construction Start Date(R)" dataDxfId="35"/>
    <tableColumn id="62" xr3:uid="{0BD468A4-4903-433B-A64B-07834D3DFCC9}" name="Original Planned In-Service Date(R)" dataDxfId="34"/>
    <tableColumn id="63" xr3:uid="{DB4187C4-9088-4FCC-9A46-C4A70B0BAFB1}" name="Current Projected or Actual In-Service Date(R)" dataDxfId="33"/>
    <tableColumn id="64" xr3:uid="{3CB604C0-D363-48F3-A36D-6C662725719F}" name="Reason for Change in In-Service Date" dataDxfId="32"/>
    <tableColumn id="65" xr3:uid="{9508D9B9-D2BF-499F-B39B-31AE04F45F01}" name="Reason for Change in In-Service Date (2)" dataDxfId="31"/>
    <tableColumn id="66" xr3:uid="{D0975BCD-3CA0-4496-A1DD-50141BC97E90}" name="In-Flight Projects" dataDxfId="30"/>
    <tableColumn id="67" xr3:uid="{15812984-15EE-4BBE-9F03-76D05C0E21B8}" name="Original Projected Cost or Cost Range ($000)(R)" dataDxfId="29"/>
    <tableColumn id="68" xr3:uid="{F646677B-FA77-42F2-B822-4DFBDD56C2D3}" name="Cost Cap ($000)" dataDxfId="28"/>
    <tableColumn id="69" xr3:uid="{B536C85C-9719-4204-9652-1C4943230AA4}" name="Current Projected Total or Actual Final Cost ($000)(R)"/>
    <tableColumn id="70" xr3:uid="{CE3428C0-5C7E-486C-B6C6-3BA8201F4E5F}" name="Actual Capital Expenditures 2020 ($000)"/>
    <tableColumn id="71" xr3:uid="{29FA7D4D-1E51-410F-88C5-D67A81F98A79}" name="Actual Capital Expenditures 2021 ($000)"/>
    <tableColumn id="72" xr3:uid="{3218B2EC-EEE5-42F3-B8DC-F42DE8CC980E}" name="Actual Capital Expenditures 2022 ($000)"/>
    <tableColumn id="73" xr3:uid="{3FEF3B9F-F8D3-4E61-8A52-89D1F7C58481}" name="Actual Capital Expenditures 2023 ($000)"/>
    <tableColumn id="74" xr3:uid="{090DC847-9D24-47F8-84D2-3148DD1252E5}" name="Actual Capital Expenditures 2024 ($000)"/>
    <tableColumn id="75" xr3:uid="{3E77D054-251C-408E-8FC5-6EE0D4AF253F}" name="Projected Capital Expenditures 2024 ($000)"/>
    <tableColumn id="76" xr3:uid="{ADC8F038-561F-41B5-8607-7E3DBBECAE79}" name="Projected Capital Expenditures 2025 ($000)"/>
    <tableColumn id="77" xr3:uid="{03E51CBB-33B3-423F-BAD3-C337AC7CE787}" name="Projected Capital Expenditures 2026 ($000)"/>
    <tableColumn id="78" xr3:uid="{D54DB34C-305C-4D2C-BCAB-7E2C8B2B12D6}" name="Projected Capital Expenditures 2027 ($000)"/>
    <tableColumn id="79" xr3:uid="{F9B7EBFE-A952-409B-A39F-8F8878834E88}" name="Projected Capital Expenditures 2028 ($000)"/>
    <tableColumn id="80" xr3:uid="{88E9E3CE-AD49-42B6-B0E1-DF8107EB411E}" name="Projected Capital Expenditures 2029 ($000)"/>
    <tableColumn id="81" xr3:uid="{54E86BCE-BF86-4515-8567-0405273C16D3}" name="Construction Work in Progress ($000)(R)"/>
    <tableColumn id="82" xr3:uid="{1379549F-34B8-4CF4-8C9E-1EA1F7591F4F}" name="Accrued Overhead ($000)"/>
    <tableColumn id="83" xr3:uid="{049D2326-F246-435F-BB99-C6715BDA7414}" name="Accrued AFUDC ($000)"/>
    <tableColumn id="84" xr3:uid="{79B1A3D6-DEB9-4EF2-A896-8A55F9A497F4}" name="FERC: Year(s)(R)" dataDxfId="27"/>
    <tableColumn id="85" xr3:uid="{0C7FD1F7-7365-4261-9C13-5091E4C38C09}" name=" 2020 Actual FERC Dollars Ratebased ($000) "/>
    <tableColumn id="86" xr3:uid="{D058BB1A-8885-4A02-82FD-6C2352354FEA}" name=" 2021 Actual FERC Dollars Ratebased ($000) "/>
    <tableColumn id="87" xr3:uid="{127B83C8-40AC-44C7-BDF5-053070296485}" name=" 2022 Actual FERC Dollars Ratebased ($000) "/>
    <tableColumn id="88" xr3:uid="{A4E30ADD-1474-4934-8412-187E4BFC2ECD}" name=" 2023 Actual FERC Dollars Ratebased ($000) "/>
    <tableColumn id="89" xr3:uid="{37CDC8B1-F376-4D1D-A065-C64727409681}" name=" 2024 Actual FERC Dollars Ratebased ($000)"/>
    <tableColumn id="90" xr3:uid="{2FCDAE59-FB48-43E0-AC86-B6E81A8E848E}" name=" 2025 Projected FERC Dollars Ratebased ($000)"/>
    <tableColumn id="91" xr3:uid="{89A1069A-A17D-4DAF-BDEF-3483B1392B81}" name="Percentage of Bid(R)"/>
    <tableColumn id="92" xr3:uid="{300D6B9F-C62C-4F07-B0EA-4E056ED2DBC9}" name="Percentage and Value ($000) of Work Requested by Others Passed onto Ratepayers"/>
    <tableColumn id="93" xr3:uid="{8BCFC6E9-8DB9-4E00-93B3-0F8D5D820B94}" name="Cost-Benefit Analysis "/>
    <tableColumn id="94" xr3:uid="{E7AAE767-305D-43AB-819D-E571E974DE8D}" name="FERC Incentives(R)"/>
    <tableColumn id="95" xr3:uid="{0BB71480-A422-45F7-82D5-217A100074FF}" name="Percentage of Cost in High Voltage TAC(R)"/>
    <tableColumn id="96" xr3:uid="{4D7C94F3-7B54-4A9A-9995-5ABA2FE3EEAE}" name="Percentage of Cost in Low Voltage TAC(R)"/>
    <tableColumn id="97" xr3:uid="{2CC2D8A2-D4D9-48C8-A4FC-3A2F354D799B}" name=" Notes" dataDxfId="26" dataCellStyle="Percent"/>
    <tableColumn id="98" xr3:uid="{C17A319B-4EE5-454C-B50C-21261650DEE3}" name="__PowerAppsId__"/>
    <tableColumn id="99" xr3:uid="{B51A927B-FB24-4F46-801D-550C9A834535}" name="BussinesUnit" dataDxfId="25"/>
    <tableColumn id="100" xr3:uid="{77A9679E-A8C3-4119-8B7C-44969DAA7A71}" name="NewPorject"/>
    <tableColumn id="101" xr3:uid="{DE4D5BBC-0E21-47FD-996F-C532D122B6F3}" name="TLCodes" dataDxfId="24"/>
    <tableColumn id="102" xr3:uid="{71F8A11A-7B6A-440B-BC20-AB442B75CA25}" name="Environment Internal Notes" dataDxfId="23" dataCellStyle="Percent"/>
    <tableColumn id="103" xr3:uid="{18505FA9-520C-417E-ACAC-67DB8A2F20C3}" name="Enrique Type of Analysis Notes"/>
    <tableColumn id="104" xr3:uid="{E64AEA2D-50D6-4268-BF29-8D54DCFA471F}" name="Enrique Alternative Solutions and Costs - cost Notes"/>
    <tableColumn id="105" xr3:uid="{B7A44228-70D6-4CA0-85FF-049528528CBD}" name="Rich CEQA_Status_Notes"/>
    <tableColumn id="106" xr3:uid="{07F7CCCB-2864-42D9-8B69-05E13394E6EA}" name="Rich_CEQA_DocType_Notes"/>
    <tableColumn id="107" xr3:uid="{4843FA87-4B5A-426C-A692-D77802D7CF9A}" name="Rich_Nepa_DocType_Notes"/>
    <tableColumn id="108" xr3:uid="{86E6739A-97C5-4F4D-AE23-1118ADAB628B}" name="Robert Guillen_Progress"/>
    <tableColumn id="109" xr3:uid="{1DB81B58-1ECC-4BEF-A556-E115B07442CE}" name="David Delgado_Progress"/>
    <tableColumn id="110" xr3:uid="{56B4B1BA-EA9A-4B83-A430-5BD61FA3BA27}" name="Jaysen Gaines_Progress"/>
    <tableColumn id="111" xr3:uid="{14DF3331-04CA-4806-AE7F-D5DC318C0F86}" name="Enrique Romero_Progress"/>
    <tableColumn id="112" xr3:uid="{CE81F4BD-5F9B-404D-8A0B-884E33C6B3E8}" name="Rich Quasarano_Progress"/>
    <tableColumn id="113" xr3:uid="{29BC5A6C-343E-4EB6-A1CB-170B6155C294}" name="Connor Witt_Progress"/>
    <tableColumn id="114" xr3:uid="{90F875E7-12AC-451E-8D9C-8A507FDC853A}" name="LandyCui_Progress"/>
    <tableColumn id="115" xr3:uid="{8FF3AA30-4E1A-47CF-AD79-133643125AC1}" name="Sandra_Progr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351B-2BE4-4019-A808-6C7662D0DC70}">
  <sheetPr codeName="Sheet1"/>
  <dimension ref="A1:CR370"/>
  <sheetViews>
    <sheetView tabSelected="1" zoomScaleNormal="100" workbookViewId="0">
      <pane xSplit="1" topLeftCell="B1" activePane="topRight" state="frozen"/>
      <selection pane="topRight" activeCell="B9" sqref="B9"/>
    </sheetView>
  </sheetViews>
  <sheetFormatPr defaultRowHeight="15" customHeight="1" x14ac:dyDescent="0.3"/>
  <cols>
    <col min="1" max="1" width="7.109375" customWidth="1"/>
    <col min="2" max="2" width="62.33203125" style="173" customWidth="1"/>
    <col min="3" max="3" width="15.88671875" style="183" customWidth="1"/>
    <col min="4" max="4" width="15.88671875" customWidth="1"/>
    <col min="5" max="5" width="30.6640625" customWidth="1"/>
    <col min="6" max="6" width="54.44140625" customWidth="1"/>
    <col min="7" max="14" width="30.6640625" customWidth="1"/>
    <col min="15" max="15" width="30.6640625" style="177" customWidth="1"/>
    <col min="16" max="20" width="30.6640625" customWidth="1"/>
    <col min="21" max="21" width="21.109375" customWidth="1"/>
    <col min="22" max="22" width="9.109375" customWidth="1"/>
    <col min="23" max="23" width="30.6640625" customWidth="1"/>
    <col min="24" max="24" width="24.109375" customWidth="1"/>
    <col min="25" max="28" width="30.6640625" customWidth="1"/>
    <col min="29" max="29" width="28.5546875" customWidth="1"/>
    <col min="30" max="34" width="30.6640625" customWidth="1"/>
    <col min="35" max="35" width="17.109375" customWidth="1"/>
    <col min="36" max="36" width="30.6640625" style="157" customWidth="1"/>
    <col min="37" max="38" width="30.6640625" customWidth="1"/>
    <col min="39" max="39" width="13.5546875" customWidth="1"/>
    <col min="40" max="40" width="14" customWidth="1"/>
    <col min="41" max="43" width="30.6640625" customWidth="1"/>
    <col min="44" max="44" width="17.109375" customWidth="1"/>
    <col min="45" max="45" width="23.6640625" customWidth="1"/>
    <col min="46" max="46" width="20.44140625" style="156" customWidth="1"/>
    <col min="47" max="47" width="23" customWidth="1"/>
    <col min="48" max="48" width="22.6640625" customWidth="1"/>
    <col min="49" max="49" width="20.33203125" customWidth="1"/>
    <col min="50" max="50" width="20" customWidth="1"/>
    <col min="51" max="51" width="20.44140625" customWidth="1"/>
    <col min="52" max="52" width="18.109375" customWidth="1"/>
    <col min="53" max="53" width="30.6640625" customWidth="1"/>
    <col min="54" max="54" width="20.44140625" customWidth="1"/>
    <col min="55" max="55" width="30.6640625" customWidth="1"/>
    <col min="56" max="56" width="13.5546875" customWidth="1"/>
    <col min="57" max="57" width="26.44140625" customWidth="1"/>
    <col min="58" max="58" width="30.6640625" style="157" customWidth="1"/>
    <col min="59" max="61" width="30.6640625" customWidth="1"/>
    <col min="62" max="62" width="33.44140625" customWidth="1"/>
    <col min="63" max="63" width="26.6640625" style="186" customWidth="1"/>
    <col min="64" max="64" width="28" customWidth="1"/>
    <col min="65" max="74" width="30.6640625" style="186" customWidth="1"/>
    <col min="75" max="75" width="37.109375" style="186" customWidth="1"/>
    <col min="76" max="76" width="30.6640625" style="186" customWidth="1"/>
    <col min="77" max="77" width="40.6640625" style="186" customWidth="1"/>
    <col min="78" max="78" width="26.33203125" customWidth="1"/>
    <col min="79" max="79" width="23.88671875" customWidth="1"/>
    <col min="80" max="80" width="50.88671875" customWidth="1"/>
    <col min="81" max="85" width="30.6640625" style="186" customWidth="1"/>
    <col min="86" max="86" width="30.6640625" style="186" bestFit="1" customWidth="1"/>
    <col min="87" max="87" width="29.6640625" style="186" customWidth="1"/>
    <col min="88" max="89" width="30.6640625" customWidth="1"/>
    <col min="90" max="90" width="49.44140625" customWidth="1"/>
    <col min="91" max="91" width="17.88671875" customWidth="1"/>
    <col min="92" max="93" width="30.6640625" style="189" customWidth="1"/>
    <col min="94" max="95" width="58.5546875" customWidth="1"/>
  </cols>
  <sheetData>
    <row r="1" spans="1:96" ht="24" customHeight="1" x14ac:dyDescent="0.3">
      <c r="A1" s="200"/>
      <c r="B1" s="201" t="s">
        <v>0</v>
      </c>
      <c r="C1" s="202"/>
      <c r="D1" s="202"/>
      <c r="E1" s="202"/>
      <c r="F1" s="202"/>
      <c r="G1" s="202"/>
      <c r="H1" s="202"/>
      <c r="I1" s="202"/>
      <c r="J1" s="202"/>
      <c r="K1" s="202"/>
      <c r="L1" s="202"/>
      <c r="M1" s="202"/>
      <c r="N1" s="202"/>
      <c r="O1" s="243"/>
      <c r="P1" s="202"/>
      <c r="Q1" s="202"/>
      <c r="R1" s="202"/>
      <c r="S1" s="202"/>
      <c r="T1" s="202"/>
      <c r="U1" s="202"/>
      <c r="V1" s="202"/>
      <c r="W1" s="202"/>
      <c r="X1" s="202"/>
      <c r="Y1" s="202"/>
      <c r="Z1" s="202"/>
      <c r="AA1" s="202"/>
      <c r="AB1" s="202"/>
      <c r="AC1" s="202"/>
      <c r="AD1" s="202"/>
      <c r="AE1" s="202"/>
      <c r="AF1" s="202"/>
      <c r="AG1" s="202"/>
      <c r="AH1" s="203"/>
      <c r="AI1" s="204" t="s">
        <v>1</v>
      </c>
      <c r="AJ1" s="205"/>
      <c r="AK1" s="205"/>
      <c r="AL1" s="205"/>
      <c r="AM1" s="205"/>
      <c r="AN1" s="205"/>
      <c r="AO1" s="205"/>
      <c r="AP1" s="205"/>
      <c r="AQ1" s="205"/>
      <c r="AR1" s="206"/>
      <c r="AS1" s="207" t="s">
        <v>2</v>
      </c>
      <c r="AT1" s="208"/>
      <c r="AU1" s="208"/>
      <c r="AV1" s="208"/>
      <c r="AW1" s="208"/>
      <c r="AX1" s="208"/>
      <c r="AY1" s="208"/>
      <c r="AZ1" s="208"/>
      <c r="BA1" s="208"/>
      <c r="BB1" s="209"/>
      <c r="BC1" s="210" t="s">
        <v>3</v>
      </c>
      <c r="BD1" s="211"/>
      <c r="BE1" s="211"/>
      <c r="BF1" s="211"/>
      <c r="BG1" s="211"/>
      <c r="BH1" s="211"/>
      <c r="BI1" s="211"/>
      <c r="BJ1" s="212"/>
      <c r="BK1" s="213" t="s">
        <v>4</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row>
    <row r="2" spans="1:96" ht="19.2" x14ac:dyDescent="0.3">
      <c r="A2" s="192">
        <v>1</v>
      </c>
      <c r="B2" s="193">
        <v>2</v>
      </c>
      <c r="C2" s="194" t="s">
        <v>5</v>
      </c>
      <c r="D2" s="195" t="s">
        <v>6</v>
      </c>
      <c r="E2" s="196">
        <v>4</v>
      </c>
      <c r="F2" s="197">
        <v>5</v>
      </c>
      <c r="G2" s="196">
        <v>6</v>
      </c>
      <c r="H2" s="196">
        <v>7</v>
      </c>
      <c r="I2" s="196">
        <v>7</v>
      </c>
      <c r="J2" s="196">
        <v>8</v>
      </c>
      <c r="K2" s="196">
        <v>9</v>
      </c>
      <c r="L2" s="196">
        <v>10</v>
      </c>
      <c r="M2" s="196">
        <v>11</v>
      </c>
      <c r="N2" s="196">
        <v>11</v>
      </c>
      <c r="O2" s="196">
        <v>12</v>
      </c>
      <c r="P2" s="196">
        <v>13</v>
      </c>
      <c r="Q2" s="196">
        <v>14</v>
      </c>
      <c r="R2" s="196" t="s">
        <v>7</v>
      </c>
      <c r="S2" s="196" t="s">
        <v>8</v>
      </c>
      <c r="T2" s="196">
        <v>16</v>
      </c>
      <c r="U2" s="196">
        <v>17</v>
      </c>
      <c r="V2" s="198">
        <v>18</v>
      </c>
      <c r="W2" s="196">
        <v>19</v>
      </c>
      <c r="X2" s="196">
        <v>20</v>
      </c>
      <c r="Y2" s="196">
        <v>21</v>
      </c>
      <c r="Z2" s="198">
        <v>22</v>
      </c>
      <c r="AA2" s="198">
        <v>23</v>
      </c>
      <c r="AB2" s="196">
        <v>24</v>
      </c>
      <c r="AC2" s="196">
        <v>25</v>
      </c>
      <c r="AD2" s="196">
        <v>26</v>
      </c>
      <c r="AE2" s="196">
        <v>27</v>
      </c>
      <c r="AF2" s="198" t="s">
        <v>9</v>
      </c>
      <c r="AG2" s="196">
        <v>28</v>
      </c>
      <c r="AH2" s="196">
        <v>29</v>
      </c>
      <c r="AI2" s="196">
        <v>30</v>
      </c>
      <c r="AJ2" s="193">
        <v>31</v>
      </c>
      <c r="AK2" s="196">
        <v>32</v>
      </c>
      <c r="AL2" s="198">
        <v>33</v>
      </c>
      <c r="AM2" s="198">
        <v>34</v>
      </c>
      <c r="AN2" s="198">
        <v>35</v>
      </c>
      <c r="AO2" s="198">
        <v>36</v>
      </c>
      <c r="AP2" s="198">
        <v>37</v>
      </c>
      <c r="AQ2" s="196">
        <v>38</v>
      </c>
      <c r="AR2" s="196">
        <v>39</v>
      </c>
      <c r="AS2" s="196" t="s">
        <v>10</v>
      </c>
      <c r="AT2" s="196" t="s">
        <v>11</v>
      </c>
      <c r="AU2" s="196" t="s">
        <v>12</v>
      </c>
      <c r="AV2" s="196" t="s">
        <v>13</v>
      </c>
      <c r="AW2" s="196" t="s">
        <v>14</v>
      </c>
      <c r="AX2" s="196" t="s">
        <v>15</v>
      </c>
      <c r="AY2" s="196">
        <v>43</v>
      </c>
      <c r="AZ2" s="196">
        <v>44</v>
      </c>
      <c r="BA2" s="196">
        <v>45</v>
      </c>
      <c r="BB2" s="196">
        <v>46</v>
      </c>
      <c r="BC2" s="196">
        <v>47</v>
      </c>
      <c r="BD2" s="196">
        <v>48</v>
      </c>
      <c r="BE2" s="196">
        <v>49</v>
      </c>
      <c r="BF2" s="193">
        <v>50</v>
      </c>
      <c r="BG2" s="198">
        <v>51</v>
      </c>
      <c r="BH2" s="196">
        <v>52</v>
      </c>
      <c r="BI2" s="196">
        <v>52</v>
      </c>
      <c r="BJ2" s="196">
        <v>53</v>
      </c>
      <c r="BK2" s="196">
        <v>54</v>
      </c>
      <c r="BL2" s="196">
        <v>55</v>
      </c>
      <c r="BM2" s="199">
        <v>56</v>
      </c>
      <c r="BN2" s="199">
        <v>57</v>
      </c>
      <c r="BO2" s="199">
        <v>57</v>
      </c>
      <c r="BP2" s="199">
        <v>57</v>
      </c>
      <c r="BQ2" s="199">
        <v>57</v>
      </c>
      <c r="BR2" s="199">
        <v>57</v>
      </c>
      <c r="BS2" s="199">
        <v>57</v>
      </c>
      <c r="BT2" s="199">
        <v>58</v>
      </c>
      <c r="BU2" s="199">
        <v>58</v>
      </c>
      <c r="BV2" s="199">
        <v>58</v>
      </c>
      <c r="BW2" s="199">
        <v>58</v>
      </c>
      <c r="BX2" s="199">
        <v>58</v>
      </c>
      <c r="BY2" s="199">
        <v>59</v>
      </c>
      <c r="BZ2" s="199">
        <v>60</v>
      </c>
      <c r="CA2" s="199">
        <v>61</v>
      </c>
      <c r="CB2" s="199">
        <v>62</v>
      </c>
      <c r="CC2" s="199">
        <v>63</v>
      </c>
      <c r="CD2" s="199">
        <v>63</v>
      </c>
      <c r="CE2" s="199">
        <v>63</v>
      </c>
      <c r="CF2" s="199">
        <v>63</v>
      </c>
      <c r="CG2" s="199">
        <v>63</v>
      </c>
      <c r="CH2" s="199">
        <v>63</v>
      </c>
      <c r="CI2" s="199">
        <v>63</v>
      </c>
      <c r="CJ2" s="199">
        <v>64</v>
      </c>
      <c r="CK2" s="199">
        <v>65</v>
      </c>
      <c r="CL2" s="199">
        <v>66</v>
      </c>
      <c r="CM2" s="199">
        <v>67</v>
      </c>
      <c r="CN2" s="199">
        <v>68</v>
      </c>
      <c r="CO2" s="199">
        <v>69</v>
      </c>
      <c r="CP2" s="199">
        <v>70</v>
      </c>
    </row>
    <row r="3" spans="1:96" ht="39.6" x14ac:dyDescent="0.3">
      <c r="A3" s="164" t="s">
        <v>16</v>
      </c>
      <c r="B3" s="172" t="s">
        <v>17</v>
      </c>
      <c r="C3" s="175" t="s">
        <v>18</v>
      </c>
      <c r="D3" s="158" t="s">
        <v>19</v>
      </c>
      <c r="E3" s="158" t="s">
        <v>20</v>
      </c>
      <c r="F3" s="158" t="s">
        <v>0</v>
      </c>
      <c r="G3" s="158" t="s">
        <v>21</v>
      </c>
      <c r="H3" s="158" t="s">
        <v>22</v>
      </c>
      <c r="I3" s="158" t="s">
        <v>23</v>
      </c>
      <c r="J3" s="158" t="s">
        <v>24</v>
      </c>
      <c r="K3" s="158" t="s">
        <v>25</v>
      </c>
      <c r="L3" s="158" t="s">
        <v>26</v>
      </c>
      <c r="M3" s="158" t="s">
        <v>27</v>
      </c>
      <c r="N3" s="158" t="s">
        <v>28</v>
      </c>
      <c r="O3" s="244" t="s">
        <v>29</v>
      </c>
      <c r="P3" s="158" t="s">
        <v>30</v>
      </c>
      <c r="Q3" s="158" t="s">
        <v>31</v>
      </c>
      <c r="R3" s="158" t="s">
        <v>32</v>
      </c>
      <c r="S3" s="158" t="s">
        <v>33</v>
      </c>
      <c r="T3" s="158" t="s">
        <v>34</v>
      </c>
      <c r="U3" s="158" t="s">
        <v>35</v>
      </c>
      <c r="V3" s="175" t="s">
        <v>36</v>
      </c>
      <c r="W3" s="158" t="s">
        <v>37</v>
      </c>
      <c r="X3" s="158" t="s">
        <v>2631</v>
      </c>
      <c r="Y3" s="158" t="s">
        <v>38</v>
      </c>
      <c r="Z3" s="175" t="s">
        <v>39</v>
      </c>
      <c r="AA3" s="175" t="s">
        <v>40</v>
      </c>
      <c r="AB3" s="158" t="s">
        <v>41</v>
      </c>
      <c r="AC3" s="158" t="s">
        <v>42</v>
      </c>
      <c r="AD3" s="158" t="s">
        <v>43</v>
      </c>
      <c r="AE3" s="158" t="s">
        <v>44</v>
      </c>
      <c r="AF3" s="175" t="s">
        <v>45</v>
      </c>
      <c r="AG3" s="158" t="s">
        <v>46</v>
      </c>
      <c r="AH3" s="158" t="s">
        <v>47</v>
      </c>
      <c r="AI3" s="159" t="s">
        <v>48</v>
      </c>
      <c r="AJ3" s="178" t="s">
        <v>49</v>
      </c>
      <c r="AK3" s="159" t="s">
        <v>50</v>
      </c>
      <c r="AL3" s="171" t="s">
        <v>51</v>
      </c>
      <c r="AM3" s="171" t="s">
        <v>52</v>
      </c>
      <c r="AN3" s="171" t="s">
        <v>53</v>
      </c>
      <c r="AO3" s="171" t="s">
        <v>54</v>
      </c>
      <c r="AP3" s="159" t="s">
        <v>55</v>
      </c>
      <c r="AQ3" s="159" t="s">
        <v>56</v>
      </c>
      <c r="AR3" s="159" t="s">
        <v>57</v>
      </c>
      <c r="AS3" s="160" t="s">
        <v>58</v>
      </c>
      <c r="AT3" s="165" t="s">
        <v>59</v>
      </c>
      <c r="AU3" s="160" t="s">
        <v>60</v>
      </c>
      <c r="AV3" s="160" t="s">
        <v>61</v>
      </c>
      <c r="AW3" s="160" t="s">
        <v>62</v>
      </c>
      <c r="AX3" s="160" t="s">
        <v>63</v>
      </c>
      <c r="AY3" s="160" t="s">
        <v>64</v>
      </c>
      <c r="AZ3" s="160" t="s">
        <v>65</v>
      </c>
      <c r="BA3" s="160" t="s">
        <v>66</v>
      </c>
      <c r="BB3" s="160" t="s">
        <v>67</v>
      </c>
      <c r="BC3" s="161" t="s">
        <v>3</v>
      </c>
      <c r="BD3" s="161" t="s">
        <v>68</v>
      </c>
      <c r="BE3" s="161" t="s">
        <v>69</v>
      </c>
      <c r="BF3" s="170" t="s">
        <v>70</v>
      </c>
      <c r="BG3" s="174" t="s">
        <v>71</v>
      </c>
      <c r="BH3" s="161" t="s">
        <v>72</v>
      </c>
      <c r="BI3" s="161" t="s">
        <v>73</v>
      </c>
      <c r="BJ3" s="161" t="s">
        <v>74</v>
      </c>
      <c r="BK3" s="187" t="s">
        <v>75</v>
      </c>
      <c r="BL3" s="190" t="s">
        <v>76</v>
      </c>
      <c r="BM3" s="185" t="s">
        <v>77</v>
      </c>
      <c r="BN3" s="185" t="s">
        <v>78</v>
      </c>
      <c r="BO3" s="185" t="s">
        <v>79</v>
      </c>
      <c r="BP3" s="185" t="s">
        <v>80</v>
      </c>
      <c r="BQ3" s="185" t="s">
        <v>81</v>
      </c>
      <c r="BR3" s="185" t="s">
        <v>82</v>
      </c>
      <c r="BS3" s="185" t="s">
        <v>83</v>
      </c>
      <c r="BT3" s="185" t="s">
        <v>84</v>
      </c>
      <c r="BU3" s="185" t="s">
        <v>85</v>
      </c>
      <c r="BV3" s="185" t="s">
        <v>86</v>
      </c>
      <c r="BW3" s="185" t="s">
        <v>87</v>
      </c>
      <c r="BX3" s="185" t="s">
        <v>88</v>
      </c>
      <c r="BY3" s="185" t="s">
        <v>89</v>
      </c>
      <c r="BZ3" s="162" t="s">
        <v>90</v>
      </c>
      <c r="CA3" s="162" t="s">
        <v>91</v>
      </c>
      <c r="CB3" s="162" t="s">
        <v>92</v>
      </c>
      <c r="CC3" s="187" t="s">
        <v>93</v>
      </c>
      <c r="CD3" s="187" t="s">
        <v>94</v>
      </c>
      <c r="CE3" s="187" t="s">
        <v>95</v>
      </c>
      <c r="CF3" s="187" t="s">
        <v>96</v>
      </c>
      <c r="CG3" s="187" t="s">
        <v>97</v>
      </c>
      <c r="CH3" s="242" t="s">
        <v>98</v>
      </c>
      <c r="CI3" s="242" t="s">
        <v>99</v>
      </c>
      <c r="CJ3" s="191" t="s">
        <v>100</v>
      </c>
      <c r="CK3" s="191" t="s">
        <v>101</v>
      </c>
      <c r="CL3" s="191" t="s">
        <v>102</v>
      </c>
      <c r="CM3" s="163" t="s">
        <v>103</v>
      </c>
      <c r="CN3" s="188" t="s">
        <v>104</v>
      </c>
      <c r="CO3" s="188" t="s">
        <v>105</v>
      </c>
      <c r="CP3" s="215" t="s">
        <v>106</v>
      </c>
    </row>
    <row r="4" spans="1:96" ht="14.4" x14ac:dyDescent="0.3">
      <c r="A4">
        <v>1</v>
      </c>
      <c r="B4" s="173" t="s">
        <v>108</v>
      </c>
      <c r="C4" s="259"/>
      <c r="D4" s="260"/>
      <c r="E4" t="s">
        <v>109</v>
      </c>
      <c r="F4" t="s">
        <v>110</v>
      </c>
      <c r="G4" s="177" t="s">
        <v>111</v>
      </c>
      <c r="H4" s="177" t="s">
        <v>112</v>
      </c>
      <c r="I4" s="177" t="s">
        <v>113</v>
      </c>
      <c r="J4" s="177" t="s">
        <v>109</v>
      </c>
      <c r="K4" s="177" t="s">
        <v>114</v>
      </c>
      <c r="L4" s="177" t="s">
        <v>115</v>
      </c>
      <c r="M4" s="177" t="s">
        <v>109</v>
      </c>
      <c r="N4" s="177" t="s">
        <v>109</v>
      </c>
      <c r="O4" s="180" t="s">
        <v>109</v>
      </c>
      <c r="P4" s="177" t="s">
        <v>109</v>
      </c>
      <c r="Q4" s="177" t="s">
        <v>109</v>
      </c>
      <c r="R4" s="177" t="s">
        <v>109</v>
      </c>
      <c r="S4" s="177" t="s">
        <v>109</v>
      </c>
      <c r="T4" s="177" t="s">
        <v>116</v>
      </c>
      <c r="U4" s="177" t="s">
        <v>117</v>
      </c>
      <c r="V4" s="177" t="b">
        <v>0</v>
      </c>
      <c r="W4" s="177" t="s">
        <v>109</v>
      </c>
      <c r="X4" s="261"/>
      <c r="Y4" s="177" t="s">
        <v>118</v>
      </c>
      <c r="Z4" s="177" t="s">
        <v>118</v>
      </c>
      <c r="AA4" s="177" t="s">
        <v>119</v>
      </c>
      <c r="AB4" s="177" t="s">
        <v>109</v>
      </c>
      <c r="AC4" s="177">
        <v>4.0999999999999996</v>
      </c>
      <c r="AD4" s="177" t="s">
        <v>119</v>
      </c>
      <c r="AE4" s="177" t="s">
        <v>120</v>
      </c>
      <c r="AF4" s="177">
        <v>119</v>
      </c>
      <c r="AG4" s="177">
        <v>103</v>
      </c>
      <c r="AH4" s="177" t="s">
        <v>121</v>
      </c>
      <c r="AI4" s="177" t="b">
        <v>1</v>
      </c>
      <c r="AJ4" s="180">
        <v>45642</v>
      </c>
      <c r="AK4" s="177" t="s">
        <v>122</v>
      </c>
      <c r="AL4" s="177" t="s">
        <v>109</v>
      </c>
      <c r="AM4" s="177" t="s">
        <v>109</v>
      </c>
      <c r="AN4" s="177" t="b">
        <v>0</v>
      </c>
      <c r="AO4" s="177" t="s">
        <v>109</v>
      </c>
      <c r="AP4" s="177" t="s">
        <v>109</v>
      </c>
      <c r="AQ4" s="177" t="s">
        <v>118</v>
      </c>
      <c r="AR4" s="177" t="b">
        <v>0</v>
      </c>
      <c r="AS4" s="177" t="s">
        <v>123</v>
      </c>
      <c r="AT4" s="180" t="s">
        <v>123</v>
      </c>
      <c r="AU4" s="177" t="s">
        <v>124</v>
      </c>
      <c r="AV4" s="177" t="s">
        <v>109</v>
      </c>
      <c r="AW4" s="177" t="s">
        <v>118</v>
      </c>
      <c r="AX4" s="177" t="s">
        <v>118</v>
      </c>
      <c r="AY4" s="177" t="s">
        <v>109</v>
      </c>
      <c r="AZ4" s="180" t="s">
        <v>109</v>
      </c>
      <c r="BA4" s="177" t="s">
        <v>125</v>
      </c>
      <c r="BB4" s="177" t="s">
        <v>109</v>
      </c>
      <c r="BC4" s="177" t="s">
        <v>126</v>
      </c>
      <c r="BD4" s="177" t="s">
        <v>109</v>
      </c>
      <c r="BE4" s="180" t="s">
        <v>109</v>
      </c>
      <c r="BF4" s="180" t="s">
        <v>127</v>
      </c>
      <c r="BG4" s="180" t="s">
        <v>119</v>
      </c>
      <c r="BH4" s="177" t="s">
        <v>109</v>
      </c>
      <c r="BI4" s="177" t="s">
        <v>109</v>
      </c>
      <c r="BJ4" s="177" t="b">
        <v>1</v>
      </c>
      <c r="BK4" s="233" t="s">
        <v>109</v>
      </c>
      <c r="BL4" s="234" t="s">
        <v>128</v>
      </c>
      <c r="BM4" s="233">
        <f>157772.395190543-SUM(BM5:BM13)</f>
        <v>124908.25277250206</v>
      </c>
      <c r="BN4" s="233">
        <f>7606.504346-SUM(BN5:BN13)</f>
        <v>1538.2149499999996</v>
      </c>
      <c r="BO4" s="235">
        <f>1446.0233774-SUM(BO5:BO13)</f>
        <v>1007.10977</v>
      </c>
      <c r="BP4" s="235">
        <f>12613.1126488-SUM(BP5:BP13)</f>
        <v>468.81790999999976</v>
      </c>
      <c r="BQ4" s="235">
        <f>2542.5314531-SUM(BQ5:BQ13)</f>
        <v>1520.0075299999999</v>
      </c>
      <c r="BR4" s="235">
        <f>2873.613732-SUM(BR5:BR13)</f>
        <v>2034.7327999999998</v>
      </c>
      <c r="BS4" s="235">
        <f>784.073014-SUM(BS5:BS13)</f>
        <v>819.89470999999992</v>
      </c>
      <c r="BT4" s="235">
        <f>2715.6490497-SUM(BT5:BT13)</f>
        <v>2650.5789229000002</v>
      </c>
      <c r="BU4" s="235">
        <f>3933.4608672-SUM(BU5:BU13)</f>
        <v>3933.4608671999999</v>
      </c>
      <c r="BV4" s="235">
        <f>6012.2448026-SUM(BV5:BV13)</f>
        <v>6012.2448026000002</v>
      </c>
      <c r="BW4" s="235">
        <f>7416.4825696-SUM(BW5:BW13)</f>
        <v>7416.4825695999998</v>
      </c>
      <c r="BX4" s="235">
        <f>8723.808969-SUM(BX5:BX13)</f>
        <v>8723.8089689999997</v>
      </c>
      <c r="BY4" s="234">
        <v>1033.0168900000001</v>
      </c>
      <c r="BZ4" s="236" t="s">
        <v>109</v>
      </c>
      <c r="CA4" s="236" t="s">
        <v>109</v>
      </c>
      <c r="CB4" s="236" t="s">
        <v>129</v>
      </c>
      <c r="CC4" s="235">
        <f>12302.35816-SUM(CC5:CC13)</f>
        <v>2438.3022400000009</v>
      </c>
      <c r="CD4" s="235">
        <f>1868.6584-SUM(CD5:CD13)</f>
        <v>1754.0004800000002</v>
      </c>
      <c r="CE4" s="235">
        <f>12313.75389-SUM(CE5:CE13)</f>
        <v>472.0742199999986</v>
      </c>
      <c r="CF4" s="235">
        <f>3426.3524452-SUM(CF5:CF13)</f>
        <v>1265.2904400000002</v>
      </c>
      <c r="CG4" s="235">
        <f>2732.780662-SUM(CG5:CG13)</f>
        <v>1938.8332</v>
      </c>
      <c r="CH4" s="235">
        <f>263.384794-SUM(CH5:CH13)</f>
        <v>730.30765999999994</v>
      </c>
      <c r="CI4" s="235">
        <f>2431.6274146-SUM(CI5:CI13)</f>
        <v>1369.0719078</v>
      </c>
      <c r="CJ4" s="237">
        <v>0</v>
      </c>
      <c r="CK4" s="177" t="s">
        <v>128</v>
      </c>
      <c r="CL4" s="177">
        <v>6.1</v>
      </c>
      <c r="CM4" s="155" t="s">
        <v>109</v>
      </c>
      <c r="CN4" s="229">
        <v>0.13550000000000001</v>
      </c>
      <c r="CO4" s="229">
        <v>0.86450000000000005</v>
      </c>
      <c r="CP4" t="s">
        <v>130</v>
      </c>
      <c r="CR4" s="248"/>
    </row>
    <row r="5" spans="1:96" ht="14.4" x14ac:dyDescent="0.3">
      <c r="A5">
        <v>2</v>
      </c>
      <c r="B5" s="173" t="s">
        <v>131</v>
      </c>
      <c r="C5" s="259"/>
      <c r="D5" s="260"/>
      <c r="E5" t="s">
        <v>109</v>
      </c>
      <c r="F5" t="s">
        <v>132</v>
      </c>
      <c r="G5" s="177" t="s">
        <v>133</v>
      </c>
      <c r="H5" s="177" t="s">
        <v>113</v>
      </c>
      <c r="I5" s="177" t="s">
        <v>109</v>
      </c>
      <c r="J5" s="177" t="s">
        <v>109</v>
      </c>
      <c r="K5" s="177" t="s">
        <v>134</v>
      </c>
      <c r="L5" s="177" t="s">
        <v>115</v>
      </c>
      <c r="M5" s="177" t="s">
        <v>109</v>
      </c>
      <c r="N5" s="177" t="s">
        <v>109</v>
      </c>
      <c r="O5" s="180">
        <v>45675</v>
      </c>
      <c r="P5" s="177" t="s">
        <v>109</v>
      </c>
      <c r="Q5" s="177" t="s">
        <v>109</v>
      </c>
      <c r="R5" s="177" t="s">
        <v>109</v>
      </c>
      <c r="S5" s="177" t="s">
        <v>109</v>
      </c>
      <c r="T5" s="177" t="s">
        <v>116</v>
      </c>
      <c r="U5" s="177" t="s">
        <v>117</v>
      </c>
      <c r="V5" s="177" t="b">
        <v>0</v>
      </c>
      <c r="W5" s="177" t="s">
        <v>109</v>
      </c>
      <c r="X5" s="261"/>
      <c r="Y5" s="177" t="s">
        <v>109</v>
      </c>
      <c r="Z5" s="177" t="s">
        <v>109</v>
      </c>
      <c r="AA5" s="177" t="s">
        <v>109</v>
      </c>
      <c r="AB5" s="177" t="s">
        <v>109</v>
      </c>
      <c r="AC5" s="177">
        <v>4.0999999999999996</v>
      </c>
      <c r="AD5" s="177" t="s">
        <v>109</v>
      </c>
      <c r="AE5" s="177" t="s">
        <v>120</v>
      </c>
      <c r="AF5" s="177">
        <v>1</v>
      </c>
      <c r="AG5" s="177">
        <v>103</v>
      </c>
      <c r="AH5" s="177" t="s">
        <v>121</v>
      </c>
      <c r="AI5" s="177" t="b">
        <v>1</v>
      </c>
      <c r="AJ5" s="180">
        <v>44558</v>
      </c>
      <c r="AK5" s="177" t="s">
        <v>122</v>
      </c>
      <c r="AL5" s="177" t="s">
        <v>109</v>
      </c>
      <c r="AM5" s="177" t="s">
        <v>109</v>
      </c>
      <c r="AN5" s="177" t="b">
        <v>0</v>
      </c>
      <c r="AO5" s="177" t="s">
        <v>109</v>
      </c>
      <c r="AP5" s="177" t="s">
        <v>109</v>
      </c>
      <c r="AQ5" s="177" t="s">
        <v>118</v>
      </c>
      <c r="AR5" s="177" t="b">
        <v>0</v>
      </c>
      <c r="AS5" s="177" t="s">
        <v>123</v>
      </c>
      <c r="AT5" s="180" t="s">
        <v>123</v>
      </c>
      <c r="AU5" s="177" t="s">
        <v>124</v>
      </c>
      <c r="AV5" s="177" t="s">
        <v>109</v>
      </c>
      <c r="AW5" s="177" t="s">
        <v>109</v>
      </c>
      <c r="AX5" s="177" t="s">
        <v>109</v>
      </c>
      <c r="AY5" s="177" t="s">
        <v>135</v>
      </c>
      <c r="AZ5" s="177" t="s">
        <v>109</v>
      </c>
      <c r="BA5" s="177" t="s">
        <v>125</v>
      </c>
      <c r="BB5" s="177" t="s">
        <v>109</v>
      </c>
      <c r="BC5" s="177" t="s">
        <v>126</v>
      </c>
      <c r="BD5" s="177" t="s">
        <v>109</v>
      </c>
      <c r="BE5" s="180" t="s">
        <v>136</v>
      </c>
      <c r="BF5" s="180" t="s">
        <v>137</v>
      </c>
      <c r="BG5" s="180">
        <v>44926</v>
      </c>
      <c r="BH5" s="177" t="s">
        <v>138</v>
      </c>
      <c r="BI5" s="177" t="s">
        <v>109</v>
      </c>
      <c r="BJ5" s="177" t="b">
        <v>1</v>
      </c>
      <c r="BK5" s="233">
        <v>3866.5808099999999</v>
      </c>
      <c r="BL5" s="234" t="s">
        <v>128</v>
      </c>
      <c r="BM5" s="233">
        <v>11631.20204</v>
      </c>
      <c r="BN5" s="233">
        <v>0</v>
      </c>
      <c r="BO5" s="233">
        <v>0</v>
      </c>
      <c r="BP5" s="233">
        <v>12271.118210000001</v>
      </c>
      <c r="BQ5" s="233">
        <v>-586.10126000000002</v>
      </c>
      <c r="BR5" s="233">
        <v>39.581589999999998</v>
      </c>
      <c r="BS5" s="233">
        <v>-93.396500000000003</v>
      </c>
      <c r="BT5" s="233">
        <v>0</v>
      </c>
      <c r="BU5" s="233">
        <v>0</v>
      </c>
      <c r="BV5" s="233">
        <v>0</v>
      </c>
      <c r="BW5" s="233">
        <v>0</v>
      </c>
      <c r="BX5" s="233">
        <v>0</v>
      </c>
      <c r="BY5" s="234">
        <v>0</v>
      </c>
      <c r="BZ5" s="236" t="s">
        <v>109</v>
      </c>
      <c r="CA5" s="236" t="s">
        <v>109</v>
      </c>
      <c r="CB5" s="236" t="s">
        <v>139</v>
      </c>
      <c r="CC5" s="233">
        <v>0</v>
      </c>
      <c r="CD5" s="233">
        <v>0</v>
      </c>
      <c r="CE5" s="233">
        <v>12271.118210000001</v>
      </c>
      <c r="CF5" s="233">
        <v>-586.10126000000002</v>
      </c>
      <c r="CG5" s="233">
        <v>39.581589999999998</v>
      </c>
      <c r="CH5" s="233">
        <v>-93.396500000000003</v>
      </c>
      <c r="CI5" s="233">
        <v>0</v>
      </c>
      <c r="CJ5" s="237">
        <v>0</v>
      </c>
      <c r="CK5" s="177" t="s">
        <v>128</v>
      </c>
      <c r="CL5" s="177" t="s">
        <v>128</v>
      </c>
      <c r="CM5" s="155" t="s">
        <v>109</v>
      </c>
      <c r="CN5" s="229">
        <v>0</v>
      </c>
      <c r="CO5" s="229">
        <v>0</v>
      </c>
      <c r="CP5" t="s">
        <v>140</v>
      </c>
      <c r="CR5" s="248"/>
    </row>
    <row r="6" spans="1:96" ht="14.4" x14ac:dyDescent="0.3">
      <c r="A6">
        <v>3</v>
      </c>
      <c r="B6" s="173" t="s">
        <v>141</v>
      </c>
      <c r="C6" s="259"/>
      <c r="D6" s="260"/>
      <c r="E6" t="s">
        <v>143</v>
      </c>
      <c r="F6" t="s">
        <v>144</v>
      </c>
      <c r="G6" s="177" t="s">
        <v>145</v>
      </c>
      <c r="H6" s="177" t="s">
        <v>146</v>
      </c>
      <c r="I6" s="177" t="s">
        <v>113</v>
      </c>
      <c r="J6" s="177" t="s">
        <v>109</v>
      </c>
      <c r="K6" s="177" t="s">
        <v>114</v>
      </c>
      <c r="L6" s="177" t="s">
        <v>115</v>
      </c>
      <c r="M6" s="177" t="s">
        <v>109</v>
      </c>
      <c r="N6" s="177" t="s">
        <v>109</v>
      </c>
      <c r="O6" s="180">
        <v>45778</v>
      </c>
      <c r="P6" s="177" t="s">
        <v>147</v>
      </c>
      <c r="Q6" s="177" t="s">
        <v>109</v>
      </c>
      <c r="R6" s="177" t="s">
        <v>109</v>
      </c>
      <c r="S6" s="177" t="s">
        <v>109</v>
      </c>
      <c r="T6" s="177" t="s">
        <v>116</v>
      </c>
      <c r="U6" s="177" t="s">
        <v>117</v>
      </c>
      <c r="V6" s="177" t="b">
        <v>0</v>
      </c>
      <c r="W6" s="177" t="s">
        <v>109</v>
      </c>
      <c r="X6" s="261"/>
      <c r="Y6" s="177" t="s">
        <v>109</v>
      </c>
      <c r="Z6" s="176">
        <v>0.17</v>
      </c>
      <c r="AA6" s="177">
        <v>69</v>
      </c>
      <c r="AB6" s="177" t="s">
        <v>148</v>
      </c>
      <c r="AC6" s="177">
        <v>4.0999999999999996</v>
      </c>
      <c r="AD6" s="177" t="s">
        <v>149</v>
      </c>
      <c r="AE6" s="177" t="s">
        <v>120</v>
      </c>
      <c r="AF6" s="177">
        <v>1</v>
      </c>
      <c r="AG6" s="177">
        <v>103</v>
      </c>
      <c r="AH6" s="177" t="s">
        <v>121</v>
      </c>
      <c r="AI6" s="177" t="b">
        <v>1</v>
      </c>
      <c r="AJ6" s="180">
        <v>43733</v>
      </c>
      <c r="AK6" s="177" t="s">
        <v>122</v>
      </c>
      <c r="AL6" s="177" t="s">
        <v>109</v>
      </c>
      <c r="AM6" s="177" t="s">
        <v>109</v>
      </c>
      <c r="AN6" s="177" t="b">
        <v>0</v>
      </c>
      <c r="AO6" s="177" t="s">
        <v>109</v>
      </c>
      <c r="AP6" s="177" t="s">
        <v>109</v>
      </c>
      <c r="AQ6" s="177" t="s">
        <v>118</v>
      </c>
      <c r="AR6" s="177" t="b">
        <v>0</v>
      </c>
      <c r="AS6" s="177" t="s">
        <v>123</v>
      </c>
      <c r="AT6" s="180" t="s">
        <v>123</v>
      </c>
      <c r="AU6" s="177" t="s">
        <v>124</v>
      </c>
      <c r="AV6" s="177" t="s">
        <v>109</v>
      </c>
      <c r="AW6" s="177" t="s">
        <v>109</v>
      </c>
      <c r="AX6" s="177" t="s">
        <v>109</v>
      </c>
      <c r="AY6" s="177" t="s">
        <v>135</v>
      </c>
      <c r="AZ6" s="177" t="s">
        <v>109</v>
      </c>
      <c r="BA6" s="177" t="s">
        <v>125</v>
      </c>
      <c r="BB6" s="177" t="s">
        <v>109</v>
      </c>
      <c r="BC6" s="177" t="s">
        <v>150</v>
      </c>
      <c r="BD6" s="177" t="s">
        <v>109</v>
      </c>
      <c r="BE6" s="180" t="s">
        <v>151</v>
      </c>
      <c r="BF6" s="180" t="s">
        <v>152</v>
      </c>
      <c r="BG6" s="180" t="s">
        <v>153</v>
      </c>
      <c r="BH6" s="177" t="s">
        <v>109</v>
      </c>
      <c r="BI6" s="177" t="s">
        <v>109</v>
      </c>
      <c r="BJ6" s="177" t="b">
        <v>1</v>
      </c>
      <c r="BK6" s="233" t="s">
        <v>109</v>
      </c>
      <c r="BL6" s="234" t="s">
        <v>128</v>
      </c>
      <c r="BM6" s="233">
        <v>2364.954191242</v>
      </c>
      <c r="BN6" s="233">
        <v>537.40266599999995</v>
      </c>
      <c r="BO6" s="233">
        <v>188.59722740000001</v>
      </c>
      <c r="BP6" s="233">
        <v>184.17771880000001</v>
      </c>
      <c r="BQ6" s="233">
        <v>958.53054310000005</v>
      </c>
      <c r="BR6" s="233">
        <v>331.426962</v>
      </c>
      <c r="BS6" s="233">
        <v>138.40438399999999</v>
      </c>
      <c r="BT6" s="233">
        <v>0</v>
      </c>
      <c r="BU6" s="233">
        <v>0</v>
      </c>
      <c r="BV6" s="233">
        <v>0</v>
      </c>
      <c r="BW6" s="233">
        <v>0</v>
      </c>
      <c r="BX6" s="233">
        <v>0</v>
      </c>
      <c r="BY6" s="234">
        <v>0</v>
      </c>
      <c r="BZ6" s="236" t="s">
        <v>109</v>
      </c>
      <c r="CA6" s="236" t="s">
        <v>109</v>
      </c>
      <c r="CB6" s="236" t="s">
        <v>154</v>
      </c>
      <c r="CC6" s="233">
        <v>0</v>
      </c>
      <c r="CD6" s="233">
        <v>0</v>
      </c>
      <c r="CE6" s="233">
        <v>0</v>
      </c>
      <c r="CF6" s="233">
        <v>1895.1228452</v>
      </c>
      <c r="CG6" s="233">
        <v>331.426962</v>
      </c>
      <c r="CH6" s="233">
        <v>138.40438399999999</v>
      </c>
      <c r="CI6" s="233">
        <v>0</v>
      </c>
      <c r="CJ6" s="237">
        <v>0</v>
      </c>
      <c r="CK6" s="177" t="s">
        <v>128</v>
      </c>
      <c r="CL6" s="177" t="s">
        <v>128</v>
      </c>
      <c r="CM6" s="155" t="s">
        <v>109</v>
      </c>
      <c r="CN6" s="229">
        <v>0</v>
      </c>
      <c r="CO6" s="229">
        <v>1</v>
      </c>
      <c r="CP6" t="s">
        <v>155</v>
      </c>
      <c r="CR6" s="248"/>
    </row>
    <row r="7" spans="1:96" ht="14.4" x14ac:dyDescent="0.3">
      <c r="A7">
        <v>4</v>
      </c>
      <c r="B7" s="173" t="s">
        <v>131</v>
      </c>
      <c r="C7" s="259"/>
      <c r="D7" s="260"/>
      <c r="E7" t="s">
        <v>109</v>
      </c>
      <c r="F7" t="s">
        <v>132</v>
      </c>
      <c r="G7" s="177" t="s">
        <v>133</v>
      </c>
      <c r="H7" s="177" t="s">
        <v>113</v>
      </c>
      <c r="I7" s="177" t="s">
        <v>109</v>
      </c>
      <c r="J7" s="177" t="s">
        <v>109</v>
      </c>
      <c r="K7" s="177" t="s">
        <v>134</v>
      </c>
      <c r="L7" s="177" t="s">
        <v>115</v>
      </c>
      <c r="M7" s="177" t="s">
        <v>109</v>
      </c>
      <c r="N7" s="177" t="s">
        <v>109</v>
      </c>
      <c r="O7" s="180">
        <v>45675</v>
      </c>
      <c r="P7" s="177" t="s">
        <v>109</v>
      </c>
      <c r="Q7" s="177" t="s">
        <v>109</v>
      </c>
      <c r="R7" s="177" t="s">
        <v>109</v>
      </c>
      <c r="S7" s="177" t="s">
        <v>109</v>
      </c>
      <c r="T7" s="177" t="s">
        <v>116</v>
      </c>
      <c r="U7" s="177" t="s">
        <v>117</v>
      </c>
      <c r="V7" s="177" t="b">
        <v>0</v>
      </c>
      <c r="W7" s="177" t="s">
        <v>109</v>
      </c>
      <c r="X7" s="261"/>
      <c r="Y7" s="177" t="s">
        <v>109</v>
      </c>
      <c r="Z7" s="177" t="s">
        <v>109</v>
      </c>
      <c r="AA7" s="177" t="s">
        <v>109</v>
      </c>
      <c r="AB7" s="177" t="s">
        <v>109</v>
      </c>
      <c r="AC7" s="177">
        <v>4.0999999999999996</v>
      </c>
      <c r="AD7" s="177" t="s">
        <v>109</v>
      </c>
      <c r="AE7" s="177" t="s">
        <v>120</v>
      </c>
      <c r="AF7" s="177">
        <v>1</v>
      </c>
      <c r="AG7" s="177">
        <v>103</v>
      </c>
      <c r="AH7" s="177" t="s">
        <v>121</v>
      </c>
      <c r="AI7" s="177" t="b">
        <v>1</v>
      </c>
      <c r="AJ7" s="180">
        <v>43924</v>
      </c>
      <c r="AK7" s="177" t="s">
        <v>122</v>
      </c>
      <c r="AL7" s="177" t="s">
        <v>109</v>
      </c>
      <c r="AM7" s="177" t="s">
        <v>109</v>
      </c>
      <c r="AN7" s="177" t="b">
        <v>0</v>
      </c>
      <c r="AO7" s="177" t="s">
        <v>109</v>
      </c>
      <c r="AP7" s="177" t="s">
        <v>109</v>
      </c>
      <c r="AQ7" s="177" t="s">
        <v>118</v>
      </c>
      <c r="AR7" s="177" t="b">
        <v>0</v>
      </c>
      <c r="AS7" s="177" t="s">
        <v>123</v>
      </c>
      <c r="AT7" s="180" t="s">
        <v>123</v>
      </c>
      <c r="AU7" s="177" t="s">
        <v>124</v>
      </c>
      <c r="AV7" s="177" t="s">
        <v>109</v>
      </c>
      <c r="AW7" s="177" t="s">
        <v>109</v>
      </c>
      <c r="AX7" s="177" t="s">
        <v>109</v>
      </c>
      <c r="AY7" s="177" t="s">
        <v>135</v>
      </c>
      <c r="AZ7" s="177" t="s">
        <v>109</v>
      </c>
      <c r="BA7" s="177" t="s">
        <v>125</v>
      </c>
      <c r="BB7" s="177" t="s">
        <v>109</v>
      </c>
      <c r="BC7" s="177" t="s">
        <v>126</v>
      </c>
      <c r="BD7" s="177" t="s">
        <v>109</v>
      </c>
      <c r="BE7" s="180" t="s">
        <v>156</v>
      </c>
      <c r="BF7" s="180" t="s">
        <v>152</v>
      </c>
      <c r="BG7" s="180" t="s">
        <v>109</v>
      </c>
      <c r="BH7" s="177" t="s">
        <v>138</v>
      </c>
      <c r="BI7" s="177" t="s">
        <v>109</v>
      </c>
      <c r="BJ7" s="177" t="b">
        <v>0</v>
      </c>
      <c r="BK7" s="233">
        <v>1115.598</v>
      </c>
      <c r="BL7" s="234" t="s">
        <v>128</v>
      </c>
      <c r="BM7" s="233">
        <v>2577.8395799999998</v>
      </c>
      <c r="BN7" s="233">
        <v>1539.6221499999999</v>
      </c>
      <c r="BO7" s="233">
        <v>1037.21038</v>
      </c>
      <c r="BP7" s="233">
        <v>1.00705</v>
      </c>
      <c r="BQ7" s="233">
        <v>0</v>
      </c>
      <c r="BR7" s="233">
        <v>0</v>
      </c>
      <c r="BS7" s="233">
        <v>0</v>
      </c>
      <c r="BT7" s="233">
        <v>0</v>
      </c>
      <c r="BU7" s="233">
        <v>0</v>
      </c>
      <c r="BV7" s="233">
        <v>0</v>
      </c>
      <c r="BW7" s="233">
        <v>0</v>
      </c>
      <c r="BX7" s="233">
        <v>0</v>
      </c>
      <c r="BY7" s="234">
        <v>0</v>
      </c>
      <c r="BZ7" s="236" t="s">
        <v>109</v>
      </c>
      <c r="CA7" s="236" t="s">
        <v>109</v>
      </c>
      <c r="CB7" s="236" t="s">
        <v>157</v>
      </c>
      <c r="CC7" s="233">
        <v>1539.6221499999999</v>
      </c>
      <c r="CD7" s="233">
        <v>1037.21038</v>
      </c>
      <c r="CE7" s="233">
        <v>1.00705</v>
      </c>
      <c r="CF7" s="233">
        <v>0</v>
      </c>
      <c r="CG7" s="233">
        <v>0</v>
      </c>
      <c r="CH7" s="233">
        <v>0</v>
      </c>
      <c r="CI7" s="233">
        <v>0</v>
      </c>
      <c r="CJ7" s="237">
        <v>0</v>
      </c>
      <c r="CK7" s="177" t="s">
        <v>128</v>
      </c>
      <c r="CL7" s="177" t="s">
        <v>128</v>
      </c>
      <c r="CM7" s="155" t="s">
        <v>109</v>
      </c>
      <c r="CN7" s="229">
        <v>0</v>
      </c>
      <c r="CO7" s="229">
        <v>0</v>
      </c>
      <c r="CP7" t="s">
        <v>140</v>
      </c>
      <c r="CR7" s="248"/>
    </row>
    <row r="8" spans="1:96" ht="14.4" x14ac:dyDescent="0.3">
      <c r="A8">
        <v>5</v>
      </c>
      <c r="B8" s="173" t="s">
        <v>158</v>
      </c>
      <c r="C8" s="259"/>
      <c r="D8" s="260"/>
      <c r="E8" t="s">
        <v>109</v>
      </c>
      <c r="F8" t="s">
        <v>132</v>
      </c>
      <c r="G8" s="177" t="s">
        <v>133</v>
      </c>
      <c r="H8" s="177" t="s">
        <v>113</v>
      </c>
      <c r="I8" s="177" t="s">
        <v>146</v>
      </c>
      <c r="J8" s="177" t="s">
        <v>109</v>
      </c>
      <c r="K8" s="177" t="s">
        <v>134</v>
      </c>
      <c r="L8" s="177" t="s">
        <v>159</v>
      </c>
      <c r="M8" s="177" t="s">
        <v>109</v>
      </c>
      <c r="N8" s="177" t="s">
        <v>109</v>
      </c>
      <c r="O8" s="180" t="s">
        <v>109</v>
      </c>
      <c r="P8" s="177" t="s">
        <v>109</v>
      </c>
      <c r="Q8" s="177" t="s">
        <v>109</v>
      </c>
      <c r="R8" s="177" t="s">
        <v>109</v>
      </c>
      <c r="S8" s="177" t="s">
        <v>109</v>
      </c>
      <c r="T8" s="177" t="s">
        <v>116</v>
      </c>
      <c r="U8" s="177" t="s">
        <v>117</v>
      </c>
      <c r="V8" s="177" t="b">
        <v>0</v>
      </c>
      <c r="W8" s="177" t="s">
        <v>109</v>
      </c>
      <c r="X8" s="261"/>
      <c r="Y8" s="177" t="s">
        <v>109</v>
      </c>
      <c r="Z8" s="177" t="s">
        <v>109</v>
      </c>
      <c r="AA8" s="177" t="s">
        <v>109</v>
      </c>
      <c r="AB8" s="177" t="s">
        <v>109</v>
      </c>
      <c r="AC8" s="177">
        <v>4.0999999999999996</v>
      </c>
      <c r="AD8" s="177" t="s">
        <v>109</v>
      </c>
      <c r="AE8" s="177" t="s">
        <v>120</v>
      </c>
      <c r="AF8" s="177">
        <v>1</v>
      </c>
      <c r="AG8" s="177">
        <v>103</v>
      </c>
      <c r="AH8" s="177" t="s">
        <v>121</v>
      </c>
      <c r="AI8" s="177" t="b">
        <v>1</v>
      </c>
      <c r="AJ8" s="180">
        <v>42660</v>
      </c>
      <c r="AK8" s="177" t="s">
        <v>122</v>
      </c>
      <c r="AL8" s="177" t="s">
        <v>109</v>
      </c>
      <c r="AM8" s="177" t="s">
        <v>109</v>
      </c>
      <c r="AN8" s="177" t="b">
        <v>0</v>
      </c>
      <c r="AO8" s="177" t="s">
        <v>109</v>
      </c>
      <c r="AP8" s="177" t="s">
        <v>109</v>
      </c>
      <c r="AQ8" s="177" t="s">
        <v>118</v>
      </c>
      <c r="AR8" s="177" t="b">
        <v>0</v>
      </c>
      <c r="AS8" s="177" t="s">
        <v>123</v>
      </c>
      <c r="AT8" s="180" t="s">
        <v>123</v>
      </c>
      <c r="AU8" s="177" t="s">
        <v>124</v>
      </c>
      <c r="AV8" s="177" t="s">
        <v>109</v>
      </c>
      <c r="AW8" s="177" t="s">
        <v>109</v>
      </c>
      <c r="AX8" s="177" t="s">
        <v>109</v>
      </c>
      <c r="AY8" s="177" t="s">
        <v>135</v>
      </c>
      <c r="AZ8" s="177" t="s">
        <v>109</v>
      </c>
      <c r="BA8" s="177" t="s">
        <v>125</v>
      </c>
      <c r="BB8" s="177" t="s">
        <v>109</v>
      </c>
      <c r="BC8" s="177" t="s">
        <v>126</v>
      </c>
      <c r="BD8" s="177" t="s">
        <v>109</v>
      </c>
      <c r="BE8" s="180" t="s">
        <v>160</v>
      </c>
      <c r="BF8" s="180" t="s">
        <v>161</v>
      </c>
      <c r="BG8" s="180">
        <v>43830</v>
      </c>
      <c r="BH8" s="177" t="s">
        <v>109</v>
      </c>
      <c r="BI8" s="177" t="s">
        <v>109</v>
      </c>
      <c r="BJ8" s="177" t="b">
        <v>0</v>
      </c>
      <c r="BK8" s="233" t="s">
        <v>109</v>
      </c>
      <c r="BL8" s="234" t="s">
        <v>128</v>
      </c>
      <c r="BM8" s="233">
        <v>8619.1111700000001</v>
      </c>
      <c r="BN8" s="233">
        <v>1126.0043700000001</v>
      </c>
      <c r="BO8" s="233">
        <v>0</v>
      </c>
      <c r="BP8" s="233">
        <v>0</v>
      </c>
      <c r="BQ8" s="233">
        <v>0</v>
      </c>
      <c r="BR8" s="233">
        <v>0</v>
      </c>
      <c r="BS8" s="233">
        <v>0</v>
      </c>
      <c r="BT8" s="233">
        <v>0</v>
      </c>
      <c r="BU8" s="233">
        <v>0</v>
      </c>
      <c r="BV8" s="233">
        <v>0</v>
      </c>
      <c r="BW8" s="233">
        <v>0</v>
      </c>
      <c r="BX8" s="233">
        <v>0</v>
      </c>
      <c r="BY8" s="234">
        <v>0</v>
      </c>
      <c r="BZ8" s="236" t="s">
        <v>109</v>
      </c>
      <c r="CA8" s="236" t="s">
        <v>109</v>
      </c>
      <c r="CB8" s="236">
        <v>2020</v>
      </c>
      <c r="CC8" s="233">
        <v>1126.0043700000001</v>
      </c>
      <c r="CD8" s="233">
        <v>0</v>
      </c>
      <c r="CE8" s="233">
        <v>0</v>
      </c>
      <c r="CF8" s="233">
        <v>0</v>
      </c>
      <c r="CG8" s="233">
        <v>0</v>
      </c>
      <c r="CH8" s="233">
        <v>0</v>
      </c>
      <c r="CI8" s="233">
        <v>0</v>
      </c>
      <c r="CJ8" s="237">
        <v>0</v>
      </c>
      <c r="CK8" s="177" t="s">
        <v>128</v>
      </c>
      <c r="CL8" s="177" t="s">
        <v>128</v>
      </c>
      <c r="CM8" s="155" t="s">
        <v>109</v>
      </c>
      <c r="CN8" s="229">
        <v>0</v>
      </c>
      <c r="CO8" s="229">
        <v>0</v>
      </c>
      <c r="CP8" t="s">
        <v>155</v>
      </c>
      <c r="CR8" s="248"/>
    </row>
    <row r="9" spans="1:96" ht="14.4" x14ac:dyDescent="0.3">
      <c r="A9">
        <v>6</v>
      </c>
      <c r="B9" s="173" t="s">
        <v>162</v>
      </c>
      <c r="C9" s="259"/>
      <c r="D9" s="260"/>
      <c r="E9" t="s">
        <v>164</v>
      </c>
      <c r="F9" t="s">
        <v>165</v>
      </c>
      <c r="G9" s="177" t="s">
        <v>166</v>
      </c>
      <c r="H9" s="177" t="s">
        <v>146</v>
      </c>
      <c r="I9" s="177" t="s">
        <v>113</v>
      </c>
      <c r="J9" s="177" t="s">
        <v>109</v>
      </c>
      <c r="K9" s="177" t="s">
        <v>114</v>
      </c>
      <c r="L9" s="177" t="s">
        <v>115</v>
      </c>
      <c r="M9" s="177" t="s">
        <v>109</v>
      </c>
      <c r="N9" s="177" t="s">
        <v>109</v>
      </c>
      <c r="O9" s="180">
        <v>45789</v>
      </c>
      <c r="P9" s="177" t="s">
        <v>167</v>
      </c>
      <c r="Q9" s="177" t="s">
        <v>109</v>
      </c>
      <c r="R9" s="177" t="s">
        <v>109</v>
      </c>
      <c r="S9" s="177" t="s">
        <v>109</v>
      </c>
      <c r="T9" s="177" t="s">
        <v>116</v>
      </c>
      <c r="U9" s="177" t="s">
        <v>117</v>
      </c>
      <c r="V9" s="177" t="b">
        <v>0</v>
      </c>
      <c r="W9" s="177" t="s">
        <v>109</v>
      </c>
      <c r="X9" s="261"/>
      <c r="Y9" s="177" t="s">
        <v>109</v>
      </c>
      <c r="Z9" s="176">
        <v>12.37</v>
      </c>
      <c r="AA9" s="177">
        <v>12</v>
      </c>
      <c r="AB9" s="177" t="s">
        <v>168</v>
      </c>
      <c r="AC9" s="177">
        <v>4.0999999999999996</v>
      </c>
      <c r="AD9" s="177" t="s">
        <v>169</v>
      </c>
      <c r="AE9" s="177" t="s">
        <v>120</v>
      </c>
      <c r="AF9" s="177">
        <v>1</v>
      </c>
      <c r="AG9" s="177">
        <v>103</v>
      </c>
      <c r="AH9" s="177" t="s">
        <v>121</v>
      </c>
      <c r="AI9" s="177" t="b">
        <v>1</v>
      </c>
      <c r="AJ9" s="180" t="s">
        <v>170</v>
      </c>
      <c r="AK9" s="177" t="s">
        <v>122</v>
      </c>
      <c r="AL9" s="177" t="s">
        <v>109</v>
      </c>
      <c r="AM9" s="177" t="s">
        <v>109</v>
      </c>
      <c r="AN9" s="177" t="b">
        <v>0</v>
      </c>
      <c r="AO9" s="177" t="s">
        <v>109</v>
      </c>
      <c r="AP9" s="177" t="s">
        <v>109</v>
      </c>
      <c r="AQ9" s="177" t="s">
        <v>118</v>
      </c>
      <c r="AR9" s="177" t="b">
        <v>0</v>
      </c>
      <c r="AS9" s="177" t="s">
        <v>123</v>
      </c>
      <c r="AT9" s="180" t="s">
        <v>123</v>
      </c>
      <c r="AU9" s="177" t="s">
        <v>124</v>
      </c>
      <c r="AV9" s="177" t="s">
        <v>109</v>
      </c>
      <c r="AW9" s="177" t="s">
        <v>109</v>
      </c>
      <c r="AX9" s="177" t="s">
        <v>109</v>
      </c>
      <c r="AY9" s="177" t="s">
        <v>135</v>
      </c>
      <c r="AZ9" s="177" t="s">
        <v>109</v>
      </c>
      <c r="BA9" s="177" t="s">
        <v>125</v>
      </c>
      <c r="BB9" s="177" t="s">
        <v>109</v>
      </c>
      <c r="BC9" s="177" t="s">
        <v>126</v>
      </c>
      <c r="BD9" s="177" t="s">
        <v>109</v>
      </c>
      <c r="BE9" s="180" t="s">
        <v>171</v>
      </c>
      <c r="BF9" s="180" t="s">
        <v>172</v>
      </c>
      <c r="BG9" s="180" t="s">
        <v>173</v>
      </c>
      <c r="BH9" s="177" t="s">
        <v>109</v>
      </c>
      <c r="BI9" s="177" t="s">
        <v>109</v>
      </c>
      <c r="BJ9" s="177" t="b">
        <v>0</v>
      </c>
      <c r="BK9" s="233">
        <v>2515.4929999999999</v>
      </c>
      <c r="BL9" s="234" t="s">
        <v>128</v>
      </c>
      <c r="BM9" s="233">
        <v>1175.37778</v>
      </c>
      <c r="BN9" s="233">
        <v>240.6139</v>
      </c>
      <c r="BO9" s="233">
        <v>135.65845999999999</v>
      </c>
      <c r="BP9" s="233">
        <v>118.43735</v>
      </c>
      <c r="BQ9" s="233">
        <v>288.74426</v>
      </c>
      <c r="BR9" s="233">
        <v>163.23699999999999</v>
      </c>
      <c r="BS9" s="233">
        <v>0</v>
      </c>
      <c r="BT9" s="233">
        <v>0</v>
      </c>
      <c r="BU9" s="233">
        <v>0</v>
      </c>
      <c r="BV9" s="233">
        <v>0</v>
      </c>
      <c r="BW9" s="233">
        <v>0</v>
      </c>
      <c r="BX9" s="233">
        <v>0</v>
      </c>
      <c r="BY9" s="234">
        <v>0</v>
      </c>
      <c r="BZ9" s="236" t="s">
        <v>109</v>
      </c>
      <c r="CA9" s="236" t="s">
        <v>109</v>
      </c>
      <c r="CB9" s="236" t="s">
        <v>174</v>
      </c>
      <c r="CC9" s="233">
        <v>0</v>
      </c>
      <c r="CD9" s="233">
        <v>0</v>
      </c>
      <c r="CE9" s="233">
        <v>0</v>
      </c>
      <c r="CF9" s="233">
        <v>1012.1407799999999</v>
      </c>
      <c r="CG9" s="233">
        <v>163.23699999999999</v>
      </c>
      <c r="CH9" s="233">
        <v>0</v>
      </c>
      <c r="CI9" s="233">
        <v>0</v>
      </c>
      <c r="CJ9" s="237">
        <v>0</v>
      </c>
      <c r="CK9" s="177" t="s">
        <v>128</v>
      </c>
      <c r="CL9" s="177" t="s">
        <v>128</v>
      </c>
      <c r="CM9" s="155" t="s">
        <v>109</v>
      </c>
      <c r="CN9" s="229">
        <v>0</v>
      </c>
      <c r="CO9" s="229">
        <v>1</v>
      </c>
      <c r="CP9" t="s">
        <v>155</v>
      </c>
      <c r="CR9" s="248"/>
    </row>
    <row r="10" spans="1:96" ht="14.4" x14ac:dyDescent="0.3">
      <c r="A10">
        <v>7</v>
      </c>
      <c r="B10" s="173" t="s">
        <v>175</v>
      </c>
      <c r="C10" s="259"/>
      <c r="D10" s="260"/>
      <c r="E10" t="s">
        <v>177</v>
      </c>
      <c r="F10" t="s">
        <v>178</v>
      </c>
      <c r="G10" s="177" t="s">
        <v>145</v>
      </c>
      <c r="H10" s="177" t="s">
        <v>146</v>
      </c>
      <c r="I10" s="177" t="s">
        <v>146</v>
      </c>
      <c r="J10" s="177" t="s">
        <v>109</v>
      </c>
      <c r="K10" s="177" t="s">
        <v>114</v>
      </c>
      <c r="L10" s="177" t="s">
        <v>115</v>
      </c>
      <c r="M10" s="177" t="s">
        <v>109</v>
      </c>
      <c r="N10" s="177" t="s">
        <v>109</v>
      </c>
      <c r="O10" s="180">
        <v>45785</v>
      </c>
      <c r="P10" s="177" t="s">
        <v>179</v>
      </c>
      <c r="Q10" s="177" t="s">
        <v>109</v>
      </c>
      <c r="R10" s="177" t="s">
        <v>109</v>
      </c>
      <c r="S10" s="177" t="s">
        <v>109</v>
      </c>
      <c r="T10" s="177" t="s">
        <v>116</v>
      </c>
      <c r="U10" s="177" t="s">
        <v>117</v>
      </c>
      <c r="V10" s="177" t="b">
        <v>0</v>
      </c>
      <c r="W10" s="177" t="s">
        <v>109</v>
      </c>
      <c r="X10" s="261"/>
      <c r="Y10" s="177" t="s">
        <v>109</v>
      </c>
      <c r="Z10" s="176">
        <v>10.210000000000001</v>
      </c>
      <c r="AA10" s="177">
        <v>230</v>
      </c>
      <c r="AB10" s="177" t="s">
        <v>180</v>
      </c>
      <c r="AC10" s="177">
        <v>4.0999999999999996</v>
      </c>
      <c r="AD10" s="177" t="s">
        <v>181</v>
      </c>
      <c r="AE10" s="177" t="s">
        <v>120</v>
      </c>
      <c r="AF10" s="177">
        <v>1</v>
      </c>
      <c r="AG10" s="177">
        <v>103</v>
      </c>
      <c r="AH10" s="177" t="s">
        <v>121</v>
      </c>
      <c r="AI10" s="177" t="b">
        <v>1</v>
      </c>
      <c r="AJ10" s="180">
        <v>43556</v>
      </c>
      <c r="AK10" s="177" t="s">
        <v>122</v>
      </c>
      <c r="AL10" s="177" t="s">
        <v>109</v>
      </c>
      <c r="AM10" s="177" t="s">
        <v>109</v>
      </c>
      <c r="AN10" s="177" t="b">
        <v>0</v>
      </c>
      <c r="AO10" s="177" t="s">
        <v>109</v>
      </c>
      <c r="AP10" s="177" t="s">
        <v>109</v>
      </c>
      <c r="AQ10" s="177" t="s">
        <v>118</v>
      </c>
      <c r="AR10" s="177" t="b">
        <v>0</v>
      </c>
      <c r="AS10" s="177" t="s">
        <v>123</v>
      </c>
      <c r="AT10" s="180" t="s">
        <v>123</v>
      </c>
      <c r="AU10" s="177" t="s">
        <v>124</v>
      </c>
      <c r="AV10" s="177" t="s">
        <v>109</v>
      </c>
      <c r="AW10" s="177" t="s">
        <v>109</v>
      </c>
      <c r="AX10" s="177" t="s">
        <v>109</v>
      </c>
      <c r="AY10" s="177" t="s">
        <v>135</v>
      </c>
      <c r="AZ10" s="177" t="s">
        <v>109</v>
      </c>
      <c r="BA10" s="177" t="s">
        <v>125</v>
      </c>
      <c r="BB10" s="177" t="s">
        <v>109</v>
      </c>
      <c r="BC10" s="177" t="s">
        <v>126</v>
      </c>
      <c r="BD10" s="177" t="s">
        <v>109</v>
      </c>
      <c r="BE10" s="180" t="s">
        <v>182</v>
      </c>
      <c r="BF10" s="180" t="s">
        <v>152</v>
      </c>
      <c r="BG10" s="180" t="s">
        <v>183</v>
      </c>
      <c r="BH10" s="177" t="s">
        <v>109</v>
      </c>
      <c r="BI10" s="177" t="s">
        <v>109</v>
      </c>
      <c r="BJ10" s="177" t="b">
        <v>1</v>
      </c>
      <c r="BK10" s="233">
        <v>2633.9</v>
      </c>
      <c r="BL10" s="234" t="s">
        <v>128</v>
      </c>
      <c r="BM10" s="233">
        <v>1378.0564400000001</v>
      </c>
      <c r="BN10" s="233">
        <v>2515.81585</v>
      </c>
      <c r="BO10" s="233">
        <v>-923.82370000000003</v>
      </c>
      <c r="BP10" s="233">
        <v>-430.44558999999998</v>
      </c>
      <c r="BQ10" s="233">
        <v>-160.10035999999999</v>
      </c>
      <c r="BR10" s="233">
        <v>-721.53638000000001</v>
      </c>
      <c r="BS10" s="233">
        <v>-558.98694</v>
      </c>
      <c r="BT10" s="233">
        <v>0</v>
      </c>
      <c r="BU10" s="233">
        <v>0</v>
      </c>
      <c r="BV10" s="233">
        <v>0</v>
      </c>
      <c r="BW10" s="233">
        <v>0</v>
      </c>
      <c r="BX10" s="233">
        <v>0</v>
      </c>
      <c r="BY10" s="234">
        <v>0</v>
      </c>
      <c r="BZ10" s="236" t="s">
        <v>109</v>
      </c>
      <c r="CA10" s="236" t="s">
        <v>109</v>
      </c>
      <c r="CB10" s="236" t="s">
        <v>129</v>
      </c>
      <c r="CC10" s="233">
        <v>4172.9494100000002</v>
      </c>
      <c r="CD10" s="233">
        <v>-923.82370000000003</v>
      </c>
      <c r="CE10" s="233">
        <v>-430.44558999999998</v>
      </c>
      <c r="CF10" s="233">
        <v>-160.10035999999999</v>
      </c>
      <c r="CG10" s="233">
        <v>-721.53638000000001</v>
      </c>
      <c r="CH10" s="233">
        <v>-558.98694</v>
      </c>
      <c r="CI10" s="233">
        <v>0</v>
      </c>
      <c r="CJ10" s="237">
        <v>0</v>
      </c>
      <c r="CK10" s="177" t="s">
        <v>128</v>
      </c>
      <c r="CL10" s="177" t="s">
        <v>128</v>
      </c>
      <c r="CM10" s="155" t="s">
        <v>109</v>
      </c>
      <c r="CN10" s="229">
        <v>1</v>
      </c>
      <c r="CO10" s="229">
        <v>0</v>
      </c>
      <c r="CP10" t="s">
        <v>155</v>
      </c>
      <c r="CR10" s="248"/>
    </row>
    <row r="11" spans="1:96" ht="14.4" x14ac:dyDescent="0.3">
      <c r="A11">
        <v>8</v>
      </c>
      <c r="B11" s="173" t="s">
        <v>184</v>
      </c>
      <c r="C11" s="259"/>
      <c r="D11" s="260"/>
      <c r="E11" t="s">
        <v>177</v>
      </c>
      <c r="F11" t="s">
        <v>185</v>
      </c>
      <c r="G11" s="177" t="s">
        <v>186</v>
      </c>
      <c r="H11" s="177" t="s">
        <v>113</v>
      </c>
      <c r="I11" s="177" t="s">
        <v>113</v>
      </c>
      <c r="J11" s="177" t="s">
        <v>109</v>
      </c>
      <c r="K11" s="177" t="s">
        <v>187</v>
      </c>
      <c r="L11" s="177" t="s">
        <v>188</v>
      </c>
      <c r="M11" s="177" t="s">
        <v>109</v>
      </c>
      <c r="N11" s="177" t="s">
        <v>109</v>
      </c>
      <c r="O11" s="180">
        <v>45785</v>
      </c>
      <c r="P11" s="177" t="s">
        <v>109</v>
      </c>
      <c r="Q11" s="177" t="s">
        <v>109</v>
      </c>
      <c r="R11" s="177" t="s">
        <v>109</v>
      </c>
      <c r="S11" s="177" t="s">
        <v>109</v>
      </c>
      <c r="T11" s="177" t="s">
        <v>116</v>
      </c>
      <c r="U11" s="177" t="s">
        <v>117</v>
      </c>
      <c r="V11" s="177" t="b">
        <v>0</v>
      </c>
      <c r="W11" s="177" t="s">
        <v>109</v>
      </c>
      <c r="X11" s="261"/>
      <c r="Y11" s="177" t="s">
        <v>109</v>
      </c>
      <c r="Z11" s="176">
        <v>9.6</v>
      </c>
      <c r="AA11" s="177">
        <v>69</v>
      </c>
      <c r="AB11" s="177" t="s">
        <v>148</v>
      </c>
      <c r="AC11" s="177">
        <v>4.0999999999999996</v>
      </c>
      <c r="AD11" s="177" t="s">
        <v>109</v>
      </c>
      <c r="AE11" s="177" t="s">
        <v>120</v>
      </c>
      <c r="AF11" s="177">
        <v>1</v>
      </c>
      <c r="AG11" s="177">
        <v>103</v>
      </c>
      <c r="AH11" s="177" t="s">
        <v>121</v>
      </c>
      <c r="AI11" s="177" t="b">
        <v>1</v>
      </c>
      <c r="AJ11" s="180">
        <v>43587</v>
      </c>
      <c r="AK11" s="177" t="s">
        <v>122</v>
      </c>
      <c r="AL11" s="177" t="s">
        <v>109</v>
      </c>
      <c r="AM11" s="177" t="s">
        <v>109</v>
      </c>
      <c r="AN11" s="177" t="b">
        <v>0</v>
      </c>
      <c r="AO11" s="177" t="s">
        <v>109</v>
      </c>
      <c r="AP11" s="177" t="s">
        <v>109</v>
      </c>
      <c r="AQ11" s="177" t="s">
        <v>118</v>
      </c>
      <c r="AR11" s="177" t="b">
        <v>0</v>
      </c>
      <c r="AS11" s="177" t="s">
        <v>123</v>
      </c>
      <c r="AT11" s="180" t="s">
        <v>123</v>
      </c>
      <c r="AU11" s="177" t="s">
        <v>124</v>
      </c>
      <c r="AV11" s="177" t="s">
        <v>109</v>
      </c>
      <c r="AW11" s="177" t="s">
        <v>109</v>
      </c>
      <c r="AX11" s="177" t="s">
        <v>109</v>
      </c>
      <c r="AY11" s="177" t="s">
        <v>135</v>
      </c>
      <c r="AZ11" s="177" t="s">
        <v>109</v>
      </c>
      <c r="BA11" s="177" t="s">
        <v>109</v>
      </c>
      <c r="BB11" s="177" t="s">
        <v>109</v>
      </c>
      <c r="BC11" s="177" t="s">
        <v>126</v>
      </c>
      <c r="BD11" s="177" t="s">
        <v>109</v>
      </c>
      <c r="BE11" s="180" t="s">
        <v>109</v>
      </c>
      <c r="BF11" s="180" t="s">
        <v>172</v>
      </c>
      <c r="BG11" s="180">
        <v>43829</v>
      </c>
      <c r="BH11" s="177" t="s">
        <v>109</v>
      </c>
      <c r="BI11" s="177" t="s">
        <v>109</v>
      </c>
      <c r="BJ11" s="177" t="b">
        <v>0</v>
      </c>
      <c r="BK11" s="233">
        <v>2344.116</v>
      </c>
      <c r="BL11" s="234" t="s">
        <v>128</v>
      </c>
      <c r="BM11" s="233">
        <v>3026.7512299999999</v>
      </c>
      <c r="BN11" s="233">
        <v>108.83046</v>
      </c>
      <c r="BO11" s="233">
        <v>1.2712399999999999</v>
      </c>
      <c r="BP11" s="233">
        <v>0</v>
      </c>
      <c r="BQ11" s="233">
        <v>0</v>
      </c>
      <c r="BR11" s="233">
        <v>0</v>
      </c>
      <c r="BS11" s="233">
        <v>0</v>
      </c>
      <c r="BT11" s="233">
        <v>0</v>
      </c>
      <c r="BU11" s="233">
        <v>0</v>
      </c>
      <c r="BV11" s="233">
        <v>0</v>
      </c>
      <c r="BW11" s="233">
        <v>0</v>
      </c>
      <c r="BX11" s="233">
        <v>0</v>
      </c>
      <c r="BY11" s="234">
        <v>0</v>
      </c>
      <c r="BZ11" s="236" t="s">
        <v>109</v>
      </c>
      <c r="CA11" s="236" t="s">
        <v>109</v>
      </c>
      <c r="CB11" s="236" t="s">
        <v>189</v>
      </c>
      <c r="CC11" s="233">
        <v>3025.4799899999998</v>
      </c>
      <c r="CD11" s="233">
        <v>1.2712399999999999</v>
      </c>
      <c r="CE11" s="233">
        <v>0</v>
      </c>
      <c r="CF11" s="233">
        <v>0</v>
      </c>
      <c r="CG11" s="233">
        <v>0</v>
      </c>
      <c r="CH11" s="233">
        <v>0</v>
      </c>
      <c r="CI11" s="233">
        <v>0</v>
      </c>
      <c r="CJ11" s="237">
        <v>0</v>
      </c>
      <c r="CK11" s="177" t="s">
        <v>128</v>
      </c>
      <c r="CL11" s="177" t="s">
        <v>128</v>
      </c>
      <c r="CM11" s="155" t="s">
        <v>109</v>
      </c>
      <c r="CN11" s="229">
        <v>0</v>
      </c>
      <c r="CO11" s="229">
        <v>1</v>
      </c>
      <c r="CP11" t="s">
        <v>190</v>
      </c>
      <c r="CR11" s="248"/>
    </row>
    <row r="12" spans="1:96" ht="14.4" x14ac:dyDescent="0.3">
      <c r="A12">
        <v>9</v>
      </c>
      <c r="B12" s="173" t="s">
        <v>131</v>
      </c>
      <c r="C12" s="259"/>
      <c r="D12" s="260"/>
      <c r="E12" t="s">
        <v>191</v>
      </c>
      <c r="F12" t="s">
        <v>132</v>
      </c>
      <c r="G12" s="177" t="s">
        <v>111</v>
      </c>
      <c r="H12" s="177" t="s">
        <v>112</v>
      </c>
      <c r="I12" s="177" t="s">
        <v>112</v>
      </c>
      <c r="J12" s="177" t="s">
        <v>109</v>
      </c>
      <c r="K12" s="177" t="s">
        <v>192</v>
      </c>
      <c r="L12" s="177" t="s">
        <v>193</v>
      </c>
      <c r="M12" s="177" t="s">
        <v>194</v>
      </c>
      <c r="N12" s="177" t="s">
        <v>194</v>
      </c>
      <c r="O12" s="180" t="s">
        <v>109</v>
      </c>
      <c r="P12" s="177" t="s">
        <v>109</v>
      </c>
      <c r="Q12" s="177" t="s">
        <v>109</v>
      </c>
      <c r="R12" s="177" t="s">
        <v>109</v>
      </c>
      <c r="S12" s="177" t="s">
        <v>109</v>
      </c>
      <c r="T12" s="177" t="s">
        <v>109</v>
      </c>
      <c r="U12" s="177" t="s">
        <v>117</v>
      </c>
      <c r="V12" s="177" t="b">
        <v>0</v>
      </c>
      <c r="W12" s="177" t="s">
        <v>109</v>
      </c>
      <c r="X12" s="261"/>
      <c r="Y12" s="177" t="s">
        <v>118</v>
      </c>
      <c r="Z12" s="177" t="s">
        <v>118</v>
      </c>
      <c r="AA12" s="177" t="s">
        <v>109</v>
      </c>
      <c r="AB12" s="177" t="s">
        <v>109</v>
      </c>
      <c r="AC12" s="177">
        <v>4.0999999999999996</v>
      </c>
      <c r="AD12" s="177" t="s">
        <v>109</v>
      </c>
      <c r="AE12" s="177" t="s">
        <v>120</v>
      </c>
      <c r="AF12" s="177">
        <v>1</v>
      </c>
      <c r="AG12" s="177">
        <v>103</v>
      </c>
      <c r="AH12" s="177" t="s">
        <v>121</v>
      </c>
      <c r="AI12" s="177" t="b">
        <v>1</v>
      </c>
      <c r="AJ12" s="180">
        <v>44929</v>
      </c>
      <c r="AK12" s="177" t="s">
        <v>122</v>
      </c>
      <c r="AL12" s="177" t="s">
        <v>109</v>
      </c>
      <c r="AM12" s="177" t="s">
        <v>109</v>
      </c>
      <c r="AN12" s="179" t="b">
        <v>0</v>
      </c>
      <c r="AO12" s="177" t="s">
        <v>109</v>
      </c>
      <c r="AP12" s="177" t="s">
        <v>109</v>
      </c>
      <c r="AQ12" s="177" t="s">
        <v>109</v>
      </c>
      <c r="AR12" s="177" t="b">
        <v>0</v>
      </c>
      <c r="AS12" s="177" t="s">
        <v>123</v>
      </c>
      <c r="AT12" s="180" t="s">
        <v>109</v>
      </c>
      <c r="AU12" s="177" t="s">
        <v>124</v>
      </c>
      <c r="AV12" s="177" t="s">
        <v>109</v>
      </c>
      <c r="AW12" s="177" t="s">
        <v>195</v>
      </c>
      <c r="AX12" s="177" t="s">
        <v>109</v>
      </c>
      <c r="AY12" s="177" t="s">
        <v>135</v>
      </c>
      <c r="AZ12" s="177" t="s">
        <v>109</v>
      </c>
      <c r="BA12" s="177" t="s">
        <v>125</v>
      </c>
      <c r="BB12" s="177" t="s">
        <v>109</v>
      </c>
      <c r="BC12" s="177" t="s">
        <v>126</v>
      </c>
      <c r="BD12" s="177" t="s">
        <v>109</v>
      </c>
      <c r="BE12" s="180" t="s">
        <v>109</v>
      </c>
      <c r="BF12" s="180">
        <v>46022</v>
      </c>
      <c r="BG12" s="180">
        <v>45611</v>
      </c>
      <c r="BH12" s="177" t="s">
        <v>109</v>
      </c>
      <c r="BI12" s="177" t="s">
        <v>109</v>
      </c>
      <c r="BJ12" s="177" t="b">
        <v>1</v>
      </c>
      <c r="BK12" s="233">
        <v>3834.4289199999998</v>
      </c>
      <c r="BL12" s="234" t="s">
        <v>128</v>
      </c>
      <c r="BM12" s="236">
        <v>1028.29448</v>
      </c>
      <c r="BN12" s="236">
        <v>0</v>
      </c>
      <c r="BO12" s="236">
        <v>0</v>
      </c>
      <c r="BP12" s="236">
        <v>0</v>
      </c>
      <c r="BQ12" s="236">
        <v>521.45074</v>
      </c>
      <c r="BR12" s="236">
        <v>459.78755000000001</v>
      </c>
      <c r="BS12" s="236">
        <v>47.056190000000001</v>
      </c>
      <c r="BT12" s="236">
        <v>0</v>
      </c>
      <c r="BU12" s="236">
        <v>0</v>
      </c>
      <c r="BV12" s="236">
        <v>0</v>
      </c>
      <c r="BW12" s="236">
        <v>0</v>
      </c>
      <c r="BX12" s="236">
        <v>0</v>
      </c>
      <c r="BY12" s="234">
        <v>0</v>
      </c>
      <c r="BZ12" s="236" t="s">
        <v>109</v>
      </c>
      <c r="CA12" s="236" t="s">
        <v>109</v>
      </c>
      <c r="CB12" s="236" t="s">
        <v>196</v>
      </c>
      <c r="CC12" s="236">
        <v>0</v>
      </c>
      <c r="CD12" s="236">
        <v>0</v>
      </c>
      <c r="CE12" s="236">
        <v>0</v>
      </c>
      <c r="CF12" s="236">
        <v>0</v>
      </c>
      <c r="CG12" s="236">
        <v>981.23829000000001</v>
      </c>
      <c r="CH12" s="236">
        <v>47.056190000000001</v>
      </c>
      <c r="CI12" s="236">
        <v>0</v>
      </c>
      <c r="CJ12" s="237">
        <v>0</v>
      </c>
      <c r="CK12" s="177" t="s">
        <v>128</v>
      </c>
      <c r="CL12" s="177" t="s">
        <v>128</v>
      </c>
      <c r="CM12" s="155" t="s">
        <v>109</v>
      </c>
      <c r="CN12" s="229">
        <v>0</v>
      </c>
      <c r="CO12" s="229">
        <v>0</v>
      </c>
      <c r="CP12" t="s">
        <v>197</v>
      </c>
      <c r="CR12" s="248"/>
    </row>
    <row r="13" spans="1:96" ht="14.4" x14ac:dyDescent="0.3">
      <c r="A13">
        <v>10</v>
      </c>
      <c r="B13" s="173" t="s">
        <v>198</v>
      </c>
      <c r="C13" s="259"/>
      <c r="D13" s="260"/>
      <c r="E13" t="s">
        <v>191</v>
      </c>
      <c r="F13" t="s">
        <v>199</v>
      </c>
      <c r="G13" s="177" t="s">
        <v>111</v>
      </c>
      <c r="H13" s="177" t="s">
        <v>112</v>
      </c>
      <c r="I13" s="177" t="s">
        <v>112</v>
      </c>
      <c r="J13" s="177" t="s">
        <v>109</v>
      </c>
      <c r="K13" s="177" t="s">
        <v>192</v>
      </c>
      <c r="L13" s="177" t="s">
        <v>193</v>
      </c>
      <c r="M13" s="177" t="s">
        <v>194</v>
      </c>
      <c r="N13" s="177" t="s">
        <v>194</v>
      </c>
      <c r="O13" s="180">
        <v>45768</v>
      </c>
      <c r="P13" s="177" t="s">
        <v>109</v>
      </c>
      <c r="Q13" s="177" t="s">
        <v>109</v>
      </c>
      <c r="R13" s="177" t="s">
        <v>109</v>
      </c>
      <c r="S13" s="177" t="s">
        <v>109</v>
      </c>
      <c r="T13" s="177" t="s">
        <v>200</v>
      </c>
      <c r="U13" s="177" t="s">
        <v>117</v>
      </c>
      <c r="V13" s="177" t="b">
        <v>0</v>
      </c>
      <c r="W13" s="177" t="s">
        <v>109</v>
      </c>
      <c r="X13" s="261"/>
      <c r="Y13" s="177" t="s">
        <v>118</v>
      </c>
      <c r="Z13" s="176">
        <v>5.14</v>
      </c>
      <c r="AA13" s="177" t="s">
        <v>201</v>
      </c>
      <c r="AB13" s="177" t="s">
        <v>201</v>
      </c>
      <c r="AC13" s="177">
        <v>4.0999999999999996</v>
      </c>
      <c r="AD13" s="177" t="s">
        <v>109</v>
      </c>
      <c r="AE13" s="177" t="s">
        <v>120</v>
      </c>
      <c r="AF13" s="177">
        <v>1</v>
      </c>
      <c r="AG13" s="177">
        <v>103</v>
      </c>
      <c r="AH13" s="177" t="s">
        <v>121</v>
      </c>
      <c r="AI13" s="177" t="b">
        <v>1</v>
      </c>
      <c r="AJ13" s="180">
        <v>45575</v>
      </c>
      <c r="AK13" s="177" t="s">
        <v>122</v>
      </c>
      <c r="AL13" s="177" t="s">
        <v>109</v>
      </c>
      <c r="AM13" s="177" t="s">
        <v>109</v>
      </c>
      <c r="AN13" s="179" t="b">
        <v>0</v>
      </c>
      <c r="AO13" s="177" t="s">
        <v>109</v>
      </c>
      <c r="AP13" s="177" t="s">
        <v>109</v>
      </c>
      <c r="AQ13" s="177" t="s">
        <v>109</v>
      </c>
      <c r="AR13" s="177" t="b">
        <v>0</v>
      </c>
      <c r="AS13" s="177" t="s">
        <v>123</v>
      </c>
      <c r="AT13" s="180" t="s">
        <v>109</v>
      </c>
      <c r="AU13" s="177" t="s">
        <v>124</v>
      </c>
      <c r="AV13" s="177" t="s">
        <v>109</v>
      </c>
      <c r="AW13" s="177" t="s">
        <v>195</v>
      </c>
      <c r="AX13" s="177" t="s">
        <v>109</v>
      </c>
      <c r="AY13" s="177" t="s">
        <v>135</v>
      </c>
      <c r="AZ13" s="177" t="s">
        <v>109</v>
      </c>
      <c r="BA13" s="177" t="s">
        <v>125</v>
      </c>
      <c r="BB13" s="177" t="s">
        <v>109</v>
      </c>
      <c r="BC13" s="177" t="s">
        <v>126</v>
      </c>
      <c r="BD13" s="177" t="s">
        <v>109</v>
      </c>
      <c r="BE13" s="180">
        <v>45575</v>
      </c>
      <c r="BF13" s="180">
        <v>45839</v>
      </c>
      <c r="BG13" s="180">
        <v>45664</v>
      </c>
      <c r="BH13" s="177" t="s">
        <v>109</v>
      </c>
      <c r="BI13" s="177" t="s">
        <v>109</v>
      </c>
      <c r="BJ13" s="177" t="b">
        <v>1</v>
      </c>
      <c r="BK13" s="233">
        <v>1244.84528</v>
      </c>
      <c r="BL13" s="234" t="s">
        <v>128</v>
      </c>
      <c r="BM13" s="236">
        <v>1062.5555067989401</v>
      </c>
      <c r="BN13" s="236">
        <v>0</v>
      </c>
      <c r="BO13" s="236">
        <v>0</v>
      </c>
      <c r="BP13" s="236">
        <v>0</v>
      </c>
      <c r="BQ13" s="236">
        <v>0</v>
      </c>
      <c r="BR13" s="236">
        <v>566.38421000000005</v>
      </c>
      <c r="BS13" s="236">
        <v>431.10117000000002</v>
      </c>
      <c r="BT13" s="236">
        <v>65.070126799999997</v>
      </c>
      <c r="BU13" s="236">
        <v>0</v>
      </c>
      <c r="BV13" s="236">
        <v>0</v>
      </c>
      <c r="BW13" s="236">
        <v>0</v>
      </c>
      <c r="BX13" s="236">
        <v>0</v>
      </c>
      <c r="BY13" s="234">
        <v>997</v>
      </c>
      <c r="BZ13" s="236" t="s">
        <v>109</v>
      </c>
      <c r="CA13" s="236" t="s">
        <v>109</v>
      </c>
      <c r="CB13" s="236">
        <v>2025</v>
      </c>
      <c r="CC13" s="236">
        <v>0</v>
      </c>
      <c r="CD13" s="236">
        <v>0</v>
      </c>
      <c r="CE13" s="236">
        <v>0</v>
      </c>
      <c r="CF13" s="236">
        <v>0</v>
      </c>
      <c r="CG13" s="236">
        <v>0</v>
      </c>
      <c r="CH13" s="236">
        <v>0</v>
      </c>
      <c r="CI13" s="236">
        <v>1062.5555068000001</v>
      </c>
      <c r="CJ13" s="237">
        <v>0</v>
      </c>
      <c r="CK13" s="177" t="s">
        <v>128</v>
      </c>
      <c r="CL13" s="177" t="s">
        <v>128</v>
      </c>
      <c r="CM13" s="155" t="s">
        <v>109</v>
      </c>
      <c r="CN13" s="229">
        <v>1</v>
      </c>
      <c r="CO13" s="229">
        <v>0</v>
      </c>
      <c r="CP13" t="s">
        <v>202</v>
      </c>
      <c r="CR13" s="248"/>
    </row>
    <row r="14" spans="1:96" ht="14.4" x14ac:dyDescent="0.3">
      <c r="A14">
        <v>11</v>
      </c>
      <c r="B14" s="173" t="s">
        <v>204</v>
      </c>
      <c r="C14" s="259"/>
      <c r="D14" s="260"/>
      <c r="E14" t="s">
        <v>109</v>
      </c>
      <c r="F14" t="s">
        <v>205</v>
      </c>
      <c r="G14" s="177" t="s">
        <v>206</v>
      </c>
      <c r="H14" s="177" t="s">
        <v>109</v>
      </c>
      <c r="I14" s="177" t="s">
        <v>109</v>
      </c>
      <c r="J14" s="177" t="s">
        <v>109</v>
      </c>
      <c r="K14" s="177" t="s">
        <v>192</v>
      </c>
      <c r="L14" s="177" t="s">
        <v>207</v>
      </c>
      <c r="M14" s="177" t="s">
        <v>109</v>
      </c>
      <c r="N14" s="177" t="s">
        <v>109</v>
      </c>
      <c r="O14" s="180" t="s">
        <v>109</v>
      </c>
      <c r="P14" s="177" t="s">
        <v>109</v>
      </c>
      <c r="Q14" s="177" t="s">
        <v>109</v>
      </c>
      <c r="R14" s="177" t="s">
        <v>109</v>
      </c>
      <c r="S14" s="177" t="s">
        <v>109</v>
      </c>
      <c r="T14" s="177" t="s">
        <v>208</v>
      </c>
      <c r="U14" s="177" t="s">
        <v>117</v>
      </c>
      <c r="V14" s="177" t="b">
        <v>0</v>
      </c>
      <c r="W14" s="177" t="s">
        <v>109</v>
      </c>
      <c r="X14" s="261"/>
      <c r="Y14" s="177" t="s">
        <v>118</v>
      </c>
      <c r="Z14" s="177" t="s">
        <v>118</v>
      </c>
      <c r="AA14" s="177" t="s">
        <v>119</v>
      </c>
      <c r="AB14" s="177" t="s">
        <v>109</v>
      </c>
      <c r="AC14" s="177" t="s">
        <v>109</v>
      </c>
      <c r="AD14" s="177" t="s">
        <v>119</v>
      </c>
      <c r="AE14" s="177" t="s">
        <v>209</v>
      </c>
      <c r="AF14" s="177">
        <v>5</v>
      </c>
      <c r="AG14" s="177">
        <v>104</v>
      </c>
      <c r="AH14" s="177" t="s">
        <v>121</v>
      </c>
      <c r="AI14" s="177" t="b">
        <v>1</v>
      </c>
      <c r="AJ14" s="180">
        <v>45637</v>
      </c>
      <c r="AK14" s="177" t="s">
        <v>122</v>
      </c>
      <c r="AL14" s="177" t="s">
        <v>109</v>
      </c>
      <c r="AM14" s="177" t="s">
        <v>109</v>
      </c>
      <c r="AN14" s="177" t="b">
        <v>0</v>
      </c>
      <c r="AO14" s="177" t="s">
        <v>109</v>
      </c>
      <c r="AP14" s="177" t="s">
        <v>109</v>
      </c>
      <c r="AQ14" s="177" t="s">
        <v>118</v>
      </c>
      <c r="AR14" s="177" t="b">
        <v>0</v>
      </c>
      <c r="AS14" s="177" t="s">
        <v>123</v>
      </c>
      <c r="AT14" s="180" t="s">
        <v>123</v>
      </c>
      <c r="AU14" s="177" t="s">
        <v>124</v>
      </c>
      <c r="AV14" s="177" t="s">
        <v>109</v>
      </c>
      <c r="AW14" s="177" t="s">
        <v>118</v>
      </c>
      <c r="AX14" s="177" t="s">
        <v>118</v>
      </c>
      <c r="AY14" s="177" t="s">
        <v>109</v>
      </c>
      <c r="AZ14" s="177" t="s">
        <v>109</v>
      </c>
      <c r="BA14" s="177" t="s">
        <v>125</v>
      </c>
      <c r="BB14" s="177" t="s">
        <v>109</v>
      </c>
      <c r="BC14" s="177" t="s">
        <v>126</v>
      </c>
      <c r="BD14" s="177" t="s">
        <v>109</v>
      </c>
      <c r="BE14" s="180" t="s">
        <v>109</v>
      </c>
      <c r="BF14" s="180" t="s">
        <v>109</v>
      </c>
      <c r="BG14" s="180" t="s">
        <v>119</v>
      </c>
      <c r="BH14" s="177" t="s">
        <v>109</v>
      </c>
      <c r="BI14" s="177" t="s">
        <v>109</v>
      </c>
      <c r="BJ14" s="177" t="b">
        <v>1</v>
      </c>
      <c r="BK14" s="233" t="s">
        <v>109</v>
      </c>
      <c r="BL14" s="234" t="s">
        <v>128</v>
      </c>
      <c r="BM14" s="233">
        <f>14248.4755496844-BM15</f>
        <v>12434.6778296844</v>
      </c>
      <c r="BN14" s="233">
        <f>61.774-BN15</f>
        <v>61.774000000000001</v>
      </c>
      <c r="BO14" s="235">
        <f>30.73549-BO15</f>
        <v>30.735489999999999</v>
      </c>
      <c r="BP14" s="235">
        <f>512.3698-BP15</f>
        <v>71.787220000000048</v>
      </c>
      <c r="BQ14" s="235">
        <f>725.38671-BQ15</f>
        <v>16.081059999999979</v>
      </c>
      <c r="BR14" s="235">
        <f>608.25429-BR15</f>
        <v>78.197389999999928</v>
      </c>
      <c r="BS14" s="235">
        <f>133.85259-BS15</f>
        <v>0</v>
      </c>
      <c r="BT14" s="235">
        <f>3802.0202086-BT15</f>
        <v>3802.0202085999999</v>
      </c>
      <c r="BU14" s="235">
        <f>1299.8202187-BU15</f>
        <v>1299.8202186999999</v>
      </c>
      <c r="BV14" s="235">
        <f>793.3032811-BV15</f>
        <v>793.30328110000005</v>
      </c>
      <c r="BW14" s="235">
        <f>799.833209-BW15</f>
        <v>799.83320900000001</v>
      </c>
      <c r="BX14" s="235">
        <f>803.3248633-BX15</f>
        <v>803.32486329999995</v>
      </c>
      <c r="BY14" s="234">
        <v>0</v>
      </c>
      <c r="BZ14" s="236" t="s">
        <v>109</v>
      </c>
      <c r="CA14" s="236" t="s">
        <v>109</v>
      </c>
      <c r="CB14" s="236" t="s">
        <v>210</v>
      </c>
      <c r="CC14" s="235">
        <f>559.17674-CC15</f>
        <v>559.17674</v>
      </c>
      <c r="CD14" s="235">
        <f>30.81619-CD15</f>
        <v>30.816189999999999</v>
      </c>
      <c r="CE14" s="235">
        <f>0-CE15</f>
        <v>0</v>
      </c>
      <c r="CF14" s="235">
        <f>0-CF15</f>
        <v>0</v>
      </c>
      <c r="CG14" s="235">
        <f>1851.1998-CG15</f>
        <v>171.25467000000003</v>
      </c>
      <c r="CH14" s="235">
        <f>133.85259-CH15</f>
        <v>0</v>
      </c>
      <c r="CI14" s="235">
        <f>3802.0202086-CI15</f>
        <v>3802.0202085999999</v>
      </c>
      <c r="CJ14" s="237">
        <v>0</v>
      </c>
      <c r="CK14" s="177" t="s">
        <v>128</v>
      </c>
      <c r="CL14" s="177">
        <v>12.6</v>
      </c>
      <c r="CM14" s="155" t="s">
        <v>109</v>
      </c>
      <c r="CN14" s="229">
        <v>0.13550000000000001</v>
      </c>
      <c r="CO14" s="229">
        <v>0.86450000000000005</v>
      </c>
      <c r="CP14" t="s">
        <v>211</v>
      </c>
      <c r="CR14" s="248"/>
    </row>
    <row r="15" spans="1:96" ht="14.4" x14ac:dyDescent="0.3">
      <c r="A15">
        <v>12</v>
      </c>
      <c r="B15" s="173" t="s">
        <v>212</v>
      </c>
      <c r="C15" s="259"/>
      <c r="D15" s="260"/>
      <c r="E15" t="s">
        <v>109</v>
      </c>
      <c r="F15" t="s">
        <v>213</v>
      </c>
      <c r="G15" s="177" t="s">
        <v>206</v>
      </c>
      <c r="H15" s="177" t="s">
        <v>109</v>
      </c>
      <c r="I15" s="177" t="s">
        <v>109</v>
      </c>
      <c r="J15" s="177" t="s">
        <v>109</v>
      </c>
      <c r="K15" s="177" t="s">
        <v>192</v>
      </c>
      <c r="L15" s="177" t="s">
        <v>214</v>
      </c>
      <c r="M15" s="177" t="s">
        <v>109</v>
      </c>
      <c r="N15" s="177" t="s">
        <v>109</v>
      </c>
      <c r="O15" s="180">
        <v>45664</v>
      </c>
      <c r="P15" s="177" t="s">
        <v>109</v>
      </c>
      <c r="Q15" s="177" t="s">
        <v>109</v>
      </c>
      <c r="R15" s="177" t="s">
        <v>109</v>
      </c>
      <c r="S15" s="177" t="s">
        <v>109</v>
      </c>
      <c r="T15" s="177" t="s">
        <v>116</v>
      </c>
      <c r="U15" s="177" t="s">
        <v>117</v>
      </c>
      <c r="V15" s="177" t="b">
        <v>0</v>
      </c>
      <c r="W15" s="177" t="s">
        <v>109</v>
      </c>
      <c r="X15" s="261"/>
      <c r="Y15" s="177" t="s">
        <v>109</v>
      </c>
      <c r="Z15" s="177" t="s">
        <v>109</v>
      </c>
      <c r="AA15" s="177" t="s">
        <v>215</v>
      </c>
      <c r="AB15" s="177" t="s">
        <v>109</v>
      </c>
      <c r="AC15" s="177" t="s">
        <v>109</v>
      </c>
      <c r="AD15" s="177" t="s">
        <v>109</v>
      </c>
      <c r="AE15" s="177" t="s">
        <v>209</v>
      </c>
      <c r="AF15" s="177">
        <v>1</v>
      </c>
      <c r="AG15" s="177">
        <v>104</v>
      </c>
      <c r="AH15" s="177" t="s">
        <v>121</v>
      </c>
      <c r="AI15" s="177" t="b">
        <v>1</v>
      </c>
      <c r="AJ15" s="180">
        <v>44739</v>
      </c>
      <c r="AK15" s="177" t="s">
        <v>122</v>
      </c>
      <c r="AL15" s="177" t="s">
        <v>109</v>
      </c>
      <c r="AM15" s="177" t="s">
        <v>109</v>
      </c>
      <c r="AN15" s="177" t="b">
        <v>0</v>
      </c>
      <c r="AO15" s="177" t="s">
        <v>109</v>
      </c>
      <c r="AP15" s="177" t="s">
        <v>109</v>
      </c>
      <c r="AQ15" s="177" t="s">
        <v>109</v>
      </c>
      <c r="AR15" s="177" t="b">
        <v>0</v>
      </c>
      <c r="AS15" s="177" t="s">
        <v>123</v>
      </c>
      <c r="AT15" s="180" t="s">
        <v>123</v>
      </c>
      <c r="AU15" s="177" t="s">
        <v>124</v>
      </c>
      <c r="AV15" s="177" t="s">
        <v>216</v>
      </c>
      <c r="AW15" s="177" t="s">
        <v>109</v>
      </c>
      <c r="AX15" s="177" t="s">
        <v>217</v>
      </c>
      <c r="AY15" s="177" t="s">
        <v>135</v>
      </c>
      <c r="AZ15" s="177" t="s">
        <v>109</v>
      </c>
      <c r="BA15" s="177" t="s">
        <v>218</v>
      </c>
      <c r="BB15" s="177" t="s">
        <v>118</v>
      </c>
      <c r="BC15" s="177" t="s">
        <v>126</v>
      </c>
      <c r="BD15" s="177" t="s">
        <v>109</v>
      </c>
      <c r="BE15" s="180" t="s">
        <v>109</v>
      </c>
      <c r="BF15" s="180" t="s">
        <v>109</v>
      </c>
      <c r="BG15" s="180">
        <v>45534</v>
      </c>
      <c r="BH15" s="177" t="s">
        <v>109</v>
      </c>
      <c r="BI15" s="177" t="s">
        <v>109</v>
      </c>
      <c r="BJ15" s="177" t="b">
        <v>1</v>
      </c>
      <c r="BK15" s="233">
        <v>674.96140000000003</v>
      </c>
      <c r="BL15" s="234" t="s">
        <v>128</v>
      </c>
      <c r="BM15" s="233">
        <v>1813.79772</v>
      </c>
      <c r="BN15" s="233">
        <v>0</v>
      </c>
      <c r="BO15" s="233">
        <v>0</v>
      </c>
      <c r="BP15" s="233">
        <v>440.58258000000001</v>
      </c>
      <c r="BQ15" s="233">
        <v>709.30565000000001</v>
      </c>
      <c r="BR15" s="233">
        <v>530.05690000000004</v>
      </c>
      <c r="BS15" s="233">
        <v>133.85258999999999</v>
      </c>
      <c r="BT15" s="233">
        <v>0</v>
      </c>
      <c r="BU15" s="233">
        <v>0</v>
      </c>
      <c r="BV15" s="233">
        <v>0</v>
      </c>
      <c r="BW15" s="233">
        <v>0</v>
      </c>
      <c r="BX15" s="233">
        <v>0</v>
      </c>
      <c r="BY15" s="234">
        <v>0</v>
      </c>
      <c r="BZ15" s="236" t="s">
        <v>109</v>
      </c>
      <c r="CA15" s="236" t="s">
        <v>109</v>
      </c>
      <c r="CB15" s="236" t="s">
        <v>196</v>
      </c>
      <c r="CC15" s="233">
        <v>0</v>
      </c>
      <c r="CD15" s="233">
        <v>0</v>
      </c>
      <c r="CE15" s="233">
        <v>0</v>
      </c>
      <c r="CF15" s="233">
        <v>0</v>
      </c>
      <c r="CG15" s="233">
        <v>1679.9451300000001</v>
      </c>
      <c r="CH15" s="233">
        <v>133.85258999999999</v>
      </c>
      <c r="CI15" s="233">
        <v>0</v>
      </c>
      <c r="CJ15" s="237">
        <v>0</v>
      </c>
      <c r="CK15" s="177" t="s">
        <v>128</v>
      </c>
      <c r="CL15" s="177" t="s">
        <v>128</v>
      </c>
      <c r="CM15" s="155" t="s">
        <v>109</v>
      </c>
      <c r="CN15" s="229">
        <v>0</v>
      </c>
      <c r="CO15" s="229">
        <v>1</v>
      </c>
      <c r="CP15" t="s">
        <v>219</v>
      </c>
      <c r="CR15" s="248"/>
    </row>
    <row r="16" spans="1:96" ht="14.4" x14ac:dyDescent="0.3">
      <c r="A16">
        <v>13</v>
      </c>
      <c r="B16" s="173" t="s">
        <v>221</v>
      </c>
      <c r="C16" s="259"/>
      <c r="D16" s="260"/>
      <c r="E16" t="s">
        <v>109</v>
      </c>
      <c r="F16" t="s">
        <v>222</v>
      </c>
      <c r="G16" s="177" t="s">
        <v>111</v>
      </c>
      <c r="H16" s="177" t="s">
        <v>112</v>
      </c>
      <c r="I16" s="177" t="s">
        <v>146</v>
      </c>
      <c r="J16" s="177" t="s">
        <v>109</v>
      </c>
      <c r="K16" s="177" t="s">
        <v>114</v>
      </c>
      <c r="L16" s="177" t="s">
        <v>115</v>
      </c>
      <c r="M16" s="177" t="s">
        <v>194</v>
      </c>
      <c r="N16" s="177" t="s">
        <v>109</v>
      </c>
      <c r="O16" s="180" t="s">
        <v>109</v>
      </c>
      <c r="P16" s="177" t="s">
        <v>109</v>
      </c>
      <c r="Q16" s="177" t="s">
        <v>109</v>
      </c>
      <c r="R16" s="177" t="s">
        <v>109</v>
      </c>
      <c r="S16" s="177" t="s">
        <v>109</v>
      </c>
      <c r="T16" s="177" t="s">
        <v>223</v>
      </c>
      <c r="U16" s="177" t="s">
        <v>117</v>
      </c>
      <c r="V16" s="177" t="b">
        <v>0</v>
      </c>
      <c r="W16" s="177" t="s">
        <v>224</v>
      </c>
      <c r="X16" s="261"/>
      <c r="Y16" s="177" t="s">
        <v>118</v>
      </c>
      <c r="Z16" s="177" t="s">
        <v>118</v>
      </c>
      <c r="AA16" s="177" t="s">
        <v>109</v>
      </c>
      <c r="AB16" s="177" t="s">
        <v>109</v>
      </c>
      <c r="AC16" s="177">
        <v>1.3</v>
      </c>
      <c r="AD16" s="177" t="s">
        <v>109</v>
      </c>
      <c r="AE16" s="177" t="s">
        <v>225</v>
      </c>
      <c r="AF16" s="177">
        <v>1</v>
      </c>
      <c r="AG16" s="177">
        <v>106</v>
      </c>
      <c r="AH16" s="177" t="s">
        <v>121</v>
      </c>
      <c r="AI16" s="177" t="b">
        <v>1</v>
      </c>
      <c r="AJ16" s="180">
        <v>43497</v>
      </c>
      <c r="AK16" s="177" t="s">
        <v>122</v>
      </c>
      <c r="AL16" s="177">
        <v>2019</v>
      </c>
      <c r="AM16" s="177" t="s">
        <v>109</v>
      </c>
      <c r="AN16" s="177" t="b">
        <v>0</v>
      </c>
      <c r="AO16" s="177" t="s">
        <v>109</v>
      </c>
      <c r="AP16" s="177" t="s">
        <v>109</v>
      </c>
      <c r="AQ16" s="177" t="s">
        <v>109</v>
      </c>
      <c r="AR16" s="177" t="b">
        <v>0</v>
      </c>
      <c r="AS16" s="177" t="s">
        <v>123</v>
      </c>
      <c r="AT16" s="180" t="s">
        <v>118</v>
      </c>
      <c r="AU16" s="177" t="s">
        <v>109</v>
      </c>
      <c r="AV16" s="177" t="s">
        <v>109</v>
      </c>
      <c r="AW16" s="177" t="s">
        <v>226</v>
      </c>
      <c r="AX16" s="177" t="s">
        <v>118</v>
      </c>
      <c r="AY16" s="177" t="s">
        <v>109</v>
      </c>
      <c r="AZ16" s="177" t="s">
        <v>109</v>
      </c>
      <c r="BA16" s="177" t="s">
        <v>125</v>
      </c>
      <c r="BB16" s="177" t="s">
        <v>109</v>
      </c>
      <c r="BC16" s="177" t="s">
        <v>126</v>
      </c>
      <c r="BD16" s="177" t="s">
        <v>109</v>
      </c>
      <c r="BE16" s="180" t="s">
        <v>109</v>
      </c>
      <c r="BF16" s="180" t="s">
        <v>227</v>
      </c>
      <c r="BG16" s="180" t="s">
        <v>228</v>
      </c>
      <c r="BH16" s="177" t="s">
        <v>109</v>
      </c>
      <c r="BI16" s="177" t="s">
        <v>109</v>
      </c>
      <c r="BJ16" s="177" t="b">
        <v>1</v>
      </c>
      <c r="BK16" s="233">
        <v>374.93700000000001</v>
      </c>
      <c r="BL16" s="234" t="s">
        <v>128</v>
      </c>
      <c r="BM16" s="254">
        <v>2630.317</v>
      </c>
      <c r="BN16" s="254">
        <v>82.746510400000005</v>
      </c>
      <c r="BO16" s="254">
        <v>86.293090800000002</v>
      </c>
      <c r="BP16" s="254">
        <v>83.199821899999989</v>
      </c>
      <c r="BQ16" s="254">
        <v>93.577103199999996</v>
      </c>
      <c r="BR16" s="254">
        <v>76.551165999999995</v>
      </c>
      <c r="BS16" s="254">
        <v>4.9122959999999996</v>
      </c>
      <c r="BT16" s="254">
        <v>122.8358975</v>
      </c>
      <c r="BU16" s="254">
        <v>144.20312189999999</v>
      </c>
      <c r="BV16" s="254">
        <v>158.8856409</v>
      </c>
      <c r="BW16" s="254">
        <v>174.92463180000001</v>
      </c>
      <c r="BX16" s="254">
        <v>192.4454149</v>
      </c>
      <c r="BY16" s="255">
        <v>0</v>
      </c>
      <c r="BZ16" s="236" t="s">
        <v>109</v>
      </c>
      <c r="CA16" s="236" t="s">
        <v>109</v>
      </c>
      <c r="CB16" s="236" t="s">
        <v>129</v>
      </c>
      <c r="CC16" s="254">
        <v>82.746510400000005</v>
      </c>
      <c r="CD16" s="254">
        <v>86.293090800000002</v>
      </c>
      <c r="CE16" s="254">
        <v>83.199821899999989</v>
      </c>
      <c r="CF16" s="254">
        <v>93.577103199999996</v>
      </c>
      <c r="CG16" s="254">
        <v>76.551165999999995</v>
      </c>
      <c r="CH16" s="254">
        <v>4.9122959999999996</v>
      </c>
      <c r="CI16" s="254">
        <v>100.8434376</v>
      </c>
      <c r="CJ16" s="237">
        <v>0</v>
      </c>
      <c r="CK16" s="177" t="s">
        <v>128</v>
      </c>
      <c r="CL16" s="177" t="s">
        <v>128</v>
      </c>
      <c r="CM16" s="155" t="s">
        <v>109</v>
      </c>
      <c r="CN16" s="229">
        <v>0</v>
      </c>
      <c r="CO16" s="229">
        <v>0</v>
      </c>
      <c r="CP16" t="s">
        <v>229</v>
      </c>
      <c r="CR16" s="248"/>
    </row>
    <row r="17" spans="1:96" ht="14.4" x14ac:dyDescent="0.3">
      <c r="A17">
        <v>14</v>
      </c>
      <c r="B17" s="173" t="s">
        <v>231</v>
      </c>
      <c r="C17" s="259"/>
      <c r="D17" s="260"/>
      <c r="E17" t="s">
        <v>109</v>
      </c>
      <c r="F17" t="s">
        <v>232</v>
      </c>
      <c r="G17" s="177" t="s">
        <v>233</v>
      </c>
      <c r="H17" s="177" t="s">
        <v>112</v>
      </c>
      <c r="I17" s="177" t="s">
        <v>109</v>
      </c>
      <c r="J17" s="177" t="s">
        <v>109</v>
      </c>
      <c r="K17" s="177" t="s">
        <v>234</v>
      </c>
      <c r="L17" s="177" t="s">
        <v>235</v>
      </c>
      <c r="M17" s="177" t="s">
        <v>109</v>
      </c>
      <c r="N17" s="177" t="s">
        <v>109</v>
      </c>
      <c r="O17" s="180" t="s">
        <v>109</v>
      </c>
      <c r="P17" s="177" t="s">
        <v>109</v>
      </c>
      <c r="Q17" s="177" t="s">
        <v>109</v>
      </c>
      <c r="R17" s="177" t="s">
        <v>109</v>
      </c>
      <c r="S17" s="177" t="s">
        <v>109</v>
      </c>
      <c r="T17" s="177" t="s">
        <v>116</v>
      </c>
      <c r="U17" s="177" t="s">
        <v>117</v>
      </c>
      <c r="V17" s="177" t="b">
        <v>0</v>
      </c>
      <c r="W17" s="177" t="s">
        <v>109</v>
      </c>
      <c r="X17" s="261"/>
      <c r="Y17" s="177" t="s">
        <v>118</v>
      </c>
      <c r="Z17" s="177" t="s">
        <v>118</v>
      </c>
      <c r="AA17" s="177" t="s">
        <v>119</v>
      </c>
      <c r="AB17" s="177" t="s">
        <v>109</v>
      </c>
      <c r="AC17" s="177">
        <v>1.3</v>
      </c>
      <c r="AD17" s="177" t="s">
        <v>119</v>
      </c>
      <c r="AE17" s="177" t="s">
        <v>236</v>
      </c>
      <c r="AF17" s="177">
        <v>10</v>
      </c>
      <c r="AG17" s="177">
        <v>206</v>
      </c>
      <c r="AH17" s="177" t="s">
        <v>121</v>
      </c>
      <c r="AI17" s="177" t="b">
        <v>1</v>
      </c>
      <c r="AJ17" s="180">
        <v>45681</v>
      </c>
      <c r="AK17" s="177" t="s">
        <v>122</v>
      </c>
      <c r="AL17" s="177" t="s">
        <v>109</v>
      </c>
      <c r="AM17" s="177" t="s">
        <v>109</v>
      </c>
      <c r="AN17" s="177" t="b">
        <v>0</v>
      </c>
      <c r="AO17" s="177" t="s">
        <v>109</v>
      </c>
      <c r="AP17" s="177" t="s">
        <v>109</v>
      </c>
      <c r="AQ17" s="177" t="s">
        <v>118</v>
      </c>
      <c r="AR17" s="177" t="b">
        <v>0</v>
      </c>
      <c r="AS17" s="177" t="s">
        <v>123</v>
      </c>
      <c r="AT17" s="180" t="s">
        <v>123</v>
      </c>
      <c r="AU17" s="177" t="s">
        <v>124</v>
      </c>
      <c r="AV17" s="177" t="s">
        <v>109</v>
      </c>
      <c r="AW17" s="177" t="s">
        <v>118</v>
      </c>
      <c r="AX17" s="177" t="s">
        <v>118</v>
      </c>
      <c r="AY17" s="177" t="s">
        <v>109</v>
      </c>
      <c r="AZ17" s="177" t="s">
        <v>109</v>
      </c>
      <c r="BA17" s="177" t="s">
        <v>125</v>
      </c>
      <c r="BB17" s="177" t="s">
        <v>118</v>
      </c>
      <c r="BC17" s="177" t="s">
        <v>126</v>
      </c>
      <c r="BD17" s="177" t="s">
        <v>109</v>
      </c>
      <c r="BE17" s="180" t="s">
        <v>109</v>
      </c>
      <c r="BF17" s="180" t="s">
        <v>127</v>
      </c>
      <c r="BG17" s="180" t="s">
        <v>119</v>
      </c>
      <c r="BH17" s="177" t="s">
        <v>109</v>
      </c>
      <c r="BI17" s="177" t="s">
        <v>109</v>
      </c>
      <c r="BJ17" s="177" t="b">
        <v>1</v>
      </c>
      <c r="BK17" s="233" t="s">
        <v>109</v>
      </c>
      <c r="BL17" s="234" t="s">
        <v>128</v>
      </c>
      <c r="BM17" s="233">
        <f>7599.31626096853-BM18</f>
        <v>4296.168520345529</v>
      </c>
      <c r="BN17" s="235">
        <f>440.8457864-BN18</f>
        <v>32.731484399999999</v>
      </c>
      <c r="BO17" s="235">
        <f>548.0051583-BO18</f>
        <v>0.50352469999995719</v>
      </c>
      <c r="BP17" s="235">
        <f>196.3276549-BP18</f>
        <v>0</v>
      </c>
      <c r="BQ17" s="235">
        <f>171.4613306-BQ18</f>
        <v>0</v>
      </c>
      <c r="BR17" s="235">
        <f>189.0803641-BR18</f>
        <v>-5.2359000000024025E-3</v>
      </c>
      <c r="BS17" s="235">
        <f>42.519354-BS18</f>
        <v>0</v>
      </c>
      <c r="BT17" s="235">
        <f>82.5803399-BT18</f>
        <v>82.580339899999998</v>
      </c>
      <c r="BU17" s="235">
        <f>362.3850415-BU18</f>
        <v>362.3850415</v>
      </c>
      <c r="BV17" s="235">
        <f>375.0576486-BV18</f>
        <v>375.05764859999999</v>
      </c>
      <c r="BW17" s="235">
        <f>388.1912421-BW18</f>
        <v>388.19124210000001</v>
      </c>
      <c r="BX17" s="235">
        <f>401.7767831-BX18</f>
        <v>401.77678309999999</v>
      </c>
      <c r="BY17" s="234">
        <v>0</v>
      </c>
      <c r="BZ17" s="236" t="s">
        <v>109</v>
      </c>
      <c r="CA17" s="236" t="s">
        <v>109</v>
      </c>
      <c r="CB17" s="236" t="s">
        <v>210</v>
      </c>
      <c r="CC17" s="235">
        <f>433.2725842-CC18</f>
        <v>25.158282199999974</v>
      </c>
      <c r="CD17" s="235">
        <f>587.5099282-CD18</f>
        <v>40.008294599999999</v>
      </c>
      <c r="CE17" s="235">
        <f>196.3276549-CE18</f>
        <v>0</v>
      </c>
      <c r="CF17" s="235">
        <f>171.4613306-CF18</f>
        <v>0</v>
      </c>
      <c r="CG17" s="235">
        <f>189.0803641-CG18</f>
        <v>-5.2359000000024025E-3</v>
      </c>
      <c r="CH17" s="235">
        <f>42.519354-CH18</f>
        <v>0</v>
      </c>
      <c r="CI17" s="235">
        <f>82.5803399-CI18</f>
        <v>82.580339899999998</v>
      </c>
      <c r="CJ17" s="237">
        <v>0</v>
      </c>
      <c r="CK17" s="177" t="s">
        <v>128</v>
      </c>
      <c r="CL17" s="177">
        <v>2.2999999999999998</v>
      </c>
      <c r="CM17" s="155" t="s">
        <v>109</v>
      </c>
      <c r="CN17" s="229">
        <v>0</v>
      </c>
      <c r="CO17" s="229">
        <v>1</v>
      </c>
      <c r="CP17" t="s">
        <v>237</v>
      </c>
      <c r="CR17" s="248"/>
    </row>
    <row r="18" spans="1:96" ht="14.4" x14ac:dyDescent="0.3">
      <c r="A18">
        <v>15</v>
      </c>
      <c r="B18" s="173" t="s">
        <v>238</v>
      </c>
      <c r="C18" s="259"/>
      <c r="D18" s="260"/>
      <c r="E18" t="s">
        <v>109</v>
      </c>
      <c r="F18" t="s">
        <v>239</v>
      </c>
      <c r="G18" s="177" t="s">
        <v>233</v>
      </c>
      <c r="H18" s="177" t="s">
        <v>113</v>
      </c>
      <c r="I18" s="177" t="s">
        <v>240</v>
      </c>
      <c r="J18" s="177" t="s">
        <v>109</v>
      </c>
      <c r="K18" s="177" t="s">
        <v>234</v>
      </c>
      <c r="L18" s="177" t="s">
        <v>193</v>
      </c>
      <c r="M18" s="177" t="s">
        <v>109</v>
      </c>
      <c r="N18" s="177" t="s">
        <v>109</v>
      </c>
      <c r="O18" s="180" t="s">
        <v>109</v>
      </c>
      <c r="P18" s="177" t="s">
        <v>109</v>
      </c>
      <c r="Q18" s="177" t="s">
        <v>109</v>
      </c>
      <c r="R18" s="177" t="s">
        <v>109</v>
      </c>
      <c r="S18" s="177" t="s">
        <v>109</v>
      </c>
      <c r="T18" s="177" t="s">
        <v>116</v>
      </c>
      <c r="U18" s="177" t="s">
        <v>117</v>
      </c>
      <c r="V18" s="177" t="b">
        <v>0</v>
      </c>
      <c r="W18" s="177" t="s">
        <v>224</v>
      </c>
      <c r="X18" s="261"/>
      <c r="Y18" s="177" t="s">
        <v>109</v>
      </c>
      <c r="Z18" s="177" t="s">
        <v>109</v>
      </c>
      <c r="AA18" s="177" t="s">
        <v>109</v>
      </c>
      <c r="AB18" s="177" t="s">
        <v>109</v>
      </c>
      <c r="AC18" s="177">
        <v>1.3</v>
      </c>
      <c r="AD18" s="177" t="s">
        <v>109</v>
      </c>
      <c r="AE18" s="177" t="s">
        <v>236</v>
      </c>
      <c r="AF18" s="177">
        <v>1</v>
      </c>
      <c r="AG18" s="177">
        <v>206</v>
      </c>
      <c r="AH18" s="177" t="s">
        <v>121</v>
      </c>
      <c r="AI18" s="177" t="b">
        <v>1</v>
      </c>
      <c r="AJ18" s="180">
        <v>0</v>
      </c>
      <c r="AK18" s="177" t="s">
        <v>122</v>
      </c>
      <c r="AL18" s="177" t="s">
        <v>109</v>
      </c>
      <c r="AM18" s="177" t="s">
        <v>109</v>
      </c>
      <c r="AN18" s="177" t="b">
        <v>0</v>
      </c>
      <c r="AO18" s="177" t="s">
        <v>109</v>
      </c>
      <c r="AP18" s="177" t="s">
        <v>109</v>
      </c>
      <c r="AQ18" s="177" t="s">
        <v>109</v>
      </c>
      <c r="AR18" s="177" t="b">
        <v>0</v>
      </c>
      <c r="AS18" s="177" t="s">
        <v>123</v>
      </c>
      <c r="AT18" s="180" t="s">
        <v>123</v>
      </c>
      <c r="AU18" s="177" t="s">
        <v>124</v>
      </c>
      <c r="AV18" s="177" t="s">
        <v>109</v>
      </c>
      <c r="AW18" s="177" t="s">
        <v>109</v>
      </c>
      <c r="AX18" s="177" t="s">
        <v>109</v>
      </c>
      <c r="AY18" s="177" t="s">
        <v>109</v>
      </c>
      <c r="AZ18" s="177" t="s">
        <v>109</v>
      </c>
      <c r="BA18" s="177" t="s">
        <v>125</v>
      </c>
      <c r="BB18" s="177" t="s">
        <v>109</v>
      </c>
      <c r="BC18" s="177" t="s">
        <v>126</v>
      </c>
      <c r="BD18" s="177" t="s">
        <v>109</v>
      </c>
      <c r="BE18" s="180" t="s">
        <v>109</v>
      </c>
      <c r="BF18" s="180" t="s">
        <v>127</v>
      </c>
      <c r="BG18" s="180" t="s">
        <v>228</v>
      </c>
      <c r="BH18" s="177" t="s">
        <v>109</v>
      </c>
      <c r="BI18" s="177" t="s">
        <v>109</v>
      </c>
      <c r="BJ18" s="177" t="b">
        <v>1</v>
      </c>
      <c r="BK18" s="233">
        <v>100</v>
      </c>
      <c r="BL18" s="234" t="s">
        <v>128</v>
      </c>
      <c r="BM18" s="233">
        <v>3303.1477406230001</v>
      </c>
      <c r="BN18" s="233">
        <v>408.11430200000001</v>
      </c>
      <c r="BO18" s="233">
        <v>547.50163359999999</v>
      </c>
      <c r="BP18" s="233">
        <v>196.3276549</v>
      </c>
      <c r="BQ18" s="233">
        <v>171.4613306</v>
      </c>
      <c r="BR18" s="233">
        <v>189.0856</v>
      </c>
      <c r="BS18" s="233">
        <v>42.519354</v>
      </c>
      <c r="BT18" s="233">
        <v>0</v>
      </c>
      <c r="BU18" s="233">
        <v>0</v>
      </c>
      <c r="BV18" s="233">
        <v>0</v>
      </c>
      <c r="BW18" s="233">
        <v>0</v>
      </c>
      <c r="BX18" s="233">
        <v>0</v>
      </c>
      <c r="BY18" s="234">
        <v>0</v>
      </c>
      <c r="BZ18" s="236" t="s">
        <v>109</v>
      </c>
      <c r="CA18" s="236" t="s">
        <v>109</v>
      </c>
      <c r="CB18" s="236" t="s">
        <v>129</v>
      </c>
      <c r="CC18" s="233">
        <v>408.11430200000001</v>
      </c>
      <c r="CD18" s="233">
        <v>547.50163359999999</v>
      </c>
      <c r="CE18" s="233">
        <v>196.3276549</v>
      </c>
      <c r="CF18" s="233">
        <v>171.4613306</v>
      </c>
      <c r="CG18" s="233">
        <v>189.0856</v>
      </c>
      <c r="CH18" s="233">
        <v>42.519354</v>
      </c>
      <c r="CI18" s="233">
        <v>0</v>
      </c>
      <c r="CJ18" s="237">
        <v>0</v>
      </c>
      <c r="CK18" s="177" t="s">
        <v>128</v>
      </c>
      <c r="CL18" s="177" t="s">
        <v>128</v>
      </c>
      <c r="CM18" s="155" t="s">
        <v>109</v>
      </c>
      <c r="CN18" s="229">
        <v>0</v>
      </c>
      <c r="CO18" s="229">
        <v>0</v>
      </c>
      <c r="CP18" t="s">
        <v>241</v>
      </c>
      <c r="CR18" s="248"/>
    </row>
    <row r="19" spans="1:96" ht="14.4" x14ac:dyDescent="0.3">
      <c r="A19">
        <v>16</v>
      </c>
      <c r="B19" s="173" t="s">
        <v>243</v>
      </c>
      <c r="C19" s="259"/>
      <c r="D19" s="260"/>
      <c r="E19" t="s">
        <v>119</v>
      </c>
      <c r="F19" t="s">
        <v>244</v>
      </c>
      <c r="G19" s="177" t="s">
        <v>245</v>
      </c>
      <c r="H19" s="177" t="s">
        <v>112</v>
      </c>
      <c r="I19" s="177" t="s">
        <v>240</v>
      </c>
      <c r="J19" s="177" t="s">
        <v>109</v>
      </c>
      <c r="K19" s="177" t="s">
        <v>246</v>
      </c>
      <c r="L19" s="177" t="s">
        <v>207</v>
      </c>
      <c r="M19" s="177" t="s">
        <v>109</v>
      </c>
      <c r="N19" s="177" t="s">
        <v>109</v>
      </c>
      <c r="O19" s="180" t="s">
        <v>109</v>
      </c>
      <c r="P19" s="177" t="s">
        <v>109</v>
      </c>
      <c r="Q19" s="177" t="s">
        <v>109</v>
      </c>
      <c r="R19" s="177" t="s">
        <v>109</v>
      </c>
      <c r="S19" s="177" t="s">
        <v>109</v>
      </c>
      <c r="T19" s="177" t="s">
        <v>116</v>
      </c>
      <c r="U19" s="177" t="s">
        <v>117</v>
      </c>
      <c r="V19" s="177" t="b">
        <v>0</v>
      </c>
      <c r="W19" s="177" t="s">
        <v>109</v>
      </c>
      <c r="X19" s="261"/>
      <c r="Y19" s="177" t="s">
        <v>109</v>
      </c>
      <c r="Z19" s="177" t="s">
        <v>109</v>
      </c>
      <c r="AA19" s="177" t="s">
        <v>109</v>
      </c>
      <c r="AB19" s="177" t="s">
        <v>109</v>
      </c>
      <c r="AC19" s="177" t="s">
        <v>109</v>
      </c>
      <c r="AD19" s="177" t="s">
        <v>119</v>
      </c>
      <c r="AE19" s="177" t="s">
        <v>119</v>
      </c>
      <c r="AF19" s="177">
        <v>34</v>
      </c>
      <c r="AG19" s="177">
        <v>925</v>
      </c>
      <c r="AH19" s="177" t="s">
        <v>121</v>
      </c>
      <c r="AI19" s="177" t="b">
        <v>1</v>
      </c>
      <c r="AJ19" s="180">
        <v>45635</v>
      </c>
      <c r="AK19" s="177" t="s">
        <v>122</v>
      </c>
      <c r="AL19" s="177" t="s">
        <v>109</v>
      </c>
      <c r="AM19" s="177" t="s">
        <v>109</v>
      </c>
      <c r="AN19" s="177" t="b">
        <v>0</v>
      </c>
      <c r="AO19" s="177" t="s">
        <v>109</v>
      </c>
      <c r="AP19" s="177" t="s">
        <v>109</v>
      </c>
      <c r="AQ19" s="177" t="s">
        <v>109</v>
      </c>
      <c r="AR19" s="177" t="b">
        <v>0</v>
      </c>
      <c r="AS19" s="177" t="s">
        <v>123</v>
      </c>
      <c r="AT19" s="180" t="s">
        <v>123</v>
      </c>
      <c r="AU19" s="177" t="s">
        <v>124</v>
      </c>
      <c r="AV19" s="177" t="s">
        <v>109</v>
      </c>
      <c r="AW19" s="177" t="s">
        <v>109</v>
      </c>
      <c r="AX19" s="177" t="s">
        <v>109</v>
      </c>
      <c r="AY19" s="177" t="s">
        <v>109</v>
      </c>
      <c r="AZ19" s="177" t="s">
        <v>109</v>
      </c>
      <c r="BA19" s="177" t="s">
        <v>218</v>
      </c>
      <c r="BB19" s="177" t="s">
        <v>109</v>
      </c>
      <c r="BC19" s="177" t="s">
        <v>126</v>
      </c>
      <c r="BD19" s="177" t="s">
        <v>109</v>
      </c>
      <c r="BE19" s="180" t="s">
        <v>109</v>
      </c>
      <c r="BF19" s="180" t="s">
        <v>227</v>
      </c>
      <c r="BG19" s="180" t="s">
        <v>119</v>
      </c>
      <c r="BH19" s="177" t="s">
        <v>109</v>
      </c>
      <c r="BI19" s="177" t="s">
        <v>109</v>
      </c>
      <c r="BJ19" s="177" t="b">
        <v>1</v>
      </c>
      <c r="BK19" s="233" t="s">
        <v>109</v>
      </c>
      <c r="BL19" s="234" t="s">
        <v>128</v>
      </c>
      <c r="BM19" s="233">
        <v>0</v>
      </c>
      <c r="BN19" s="235">
        <f>4953.06715595228-SUM(BN20:BN25)</f>
        <v>274.75461646536041</v>
      </c>
      <c r="BO19" s="235">
        <f>3435.96588975588-SUM(BO20:BO25)</f>
        <v>862.00002494136015</v>
      </c>
      <c r="BP19" s="235">
        <f>2630.12741622747-SUM(BP20:BP25)</f>
        <v>1337.7995546581797</v>
      </c>
      <c r="BQ19" s="235">
        <f>1733.241644177-SUM(BQ20:BQ25)</f>
        <v>1288.95706653556</v>
      </c>
      <c r="BR19" s="235">
        <f>1916.842044429-SUM(BR20:BR25)</f>
        <v>1655.3502297760001</v>
      </c>
      <c r="BS19" s="238">
        <f>0-SUM(BS20:BS25)</f>
        <v>0</v>
      </c>
      <c r="BT19" s="238">
        <f>1337.50224675502-SUM(BT20:BT25)</f>
        <v>1305.1115650558199</v>
      </c>
      <c r="BU19" s="238">
        <f>80.20817368256-SUM(BU20:BU25)</f>
        <v>47.954872416000001</v>
      </c>
      <c r="BV19" s="235">
        <f>18.07297404-SUM(BV20:BV25)</f>
        <v>18.072974039999998</v>
      </c>
      <c r="BW19" s="235">
        <f>0-SUM(BW20:BW25)</f>
        <v>0</v>
      </c>
      <c r="BX19" s="235">
        <f>0-SUM(BX20:BX25)</f>
        <v>0</v>
      </c>
      <c r="BY19" s="234">
        <v>0</v>
      </c>
      <c r="BZ19" s="236" t="s">
        <v>109</v>
      </c>
      <c r="CA19" s="236" t="s">
        <v>109</v>
      </c>
      <c r="CB19" s="236" t="s">
        <v>129</v>
      </c>
      <c r="CC19" s="235">
        <f>2514.06293747164-SUM(CC20:CC25)</f>
        <v>273.01534775599976</v>
      </c>
      <c r="CD19" s="235">
        <f>5106.05465172356-SUM(CD20:CD25)</f>
        <v>1959.5665400753396</v>
      </c>
      <c r="CE19" s="235">
        <f>3987.55708285995-SUM(CE20:CE25)</f>
        <v>1465.8978972775503</v>
      </c>
      <c r="CF19" s="235">
        <f>2074.43452330686-SUM(CF20:CF25)</f>
        <v>1088.4336719337198</v>
      </c>
      <c r="CG19" s="235">
        <f>3797.85187536558-SUM(CG20:CG25)</f>
        <v>1065.3398943367597</v>
      </c>
      <c r="CH19" s="235">
        <f>0-SUM(CH20:CH25)</f>
        <v>0</v>
      </c>
      <c r="CI19" s="235">
        <f>2198.21869019442-SUM(CI20:CI25)</f>
        <v>2165.8189389952199</v>
      </c>
      <c r="CJ19" s="237">
        <v>0</v>
      </c>
      <c r="CK19" s="177" t="s">
        <v>128</v>
      </c>
      <c r="CL19" s="177" t="s">
        <v>128</v>
      </c>
      <c r="CM19" s="155" t="s">
        <v>109</v>
      </c>
      <c r="CN19" s="229">
        <v>0</v>
      </c>
      <c r="CO19" s="229">
        <v>0</v>
      </c>
      <c r="CP19" t="s">
        <v>247</v>
      </c>
      <c r="CR19" s="248"/>
    </row>
    <row r="20" spans="1:96" ht="14.4" x14ac:dyDescent="0.3">
      <c r="A20">
        <v>17</v>
      </c>
      <c r="B20" s="173" t="s">
        <v>248</v>
      </c>
      <c r="C20" s="259"/>
      <c r="D20" s="260"/>
      <c r="E20" t="s">
        <v>119</v>
      </c>
      <c r="F20" t="s">
        <v>249</v>
      </c>
      <c r="G20" s="177" t="s">
        <v>245</v>
      </c>
      <c r="H20" s="177" t="s">
        <v>146</v>
      </c>
      <c r="I20" s="177" t="s">
        <v>113</v>
      </c>
      <c r="J20" s="177" t="s">
        <v>109</v>
      </c>
      <c r="K20" s="177" t="s">
        <v>250</v>
      </c>
      <c r="L20" s="177" t="s">
        <v>251</v>
      </c>
      <c r="M20" s="177" t="s">
        <v>109</v>
      </c>
      <c r="N20" s="177" t="s">
        <v>109</v>
      </c>
      <c r="O20" s="180" t="s">
        <v>109</v>
      </c>
      <c r="P20" s="177" t="s">
        <v>109</v>
      </c>
      <c r="Q20" s="177" t="s">
        <v>109</v>
      </c>
      <c r="R20" s="177" t="s">
        <v>109</v>
      </c>
      <c r="S20" s="177" t="s">
        <v>109</v>
      </c>
      <c r="T20" s="177" t="s">
        <v>116</v>
      </c>
      <c r="U20" s="177" t="s">
        <v>117</v>
      </c>
      <c r="V20" s="177" t="b">
        <v>0</v>
      </c>
      <c r="W20" s="177" t="s">
        <v>109</v>
      </c>
      <c r="X20" s="261"/>
      <c r="Y20" s="177" t="s">
        <v>109</v>
      </c>
      <c r="Z20" s="177" t="s">
        <v>109</v>
      </c>
      <c r="AA20" s="177" t="s">
        <v>109</v>
      </c>
      <c r="AB20" s="177" t="s">
        <v>109</v>
      </c>
      <c r="AC20" s="177" t="s">
        <v>109</v>
      </c>
      <c r="AD20" s="177" t="s">
        <v>252</v>
      </c>
      <c r="AE20" s="177" t="s">
        <v>253</v>
      </c>
      <c r="AF20" s="177">
        <v>1</v>
      </c>
      <c r="AG20" s="177">
        <v>925</v>
      </c>
      <c r="AH20" s="177" t="s">
        <v>121</v>
      </c>
      <c r="AI20" s="177" t="b">
        <v>1</v>
      </c>
      <c r="AJ20" s="180" t="s">
        <v>254</v>
      </c>
      <c r="AK20" s="177" t="s">
        <v>122</v>
      </c>
      <c r="AL20" s="177" t="s">
        <v>109</v>
      </c>
      <c r="AM20" s="177" t="s">
        <v>109</v>
      </c>
      <c r="AN20" s="177" t="b">
        <v>0</v>
      </c>
      <c r="AO20" s="177" t="s">
        <v>109</v>
      </c>
      <c r="AP20" s="177" t="s">
        <v>109</v>
      </c>
      <c r="AQ20" s="177" t="s">
        <v>109</v>
      </c>
      <c r="AR20" s="177" t="b">
        <v>0</v>
      </c>
      <c r="AS20" s="177" t="s">
        <v>123</v>
      </c>
      <c r="AT20" s="180" t="s">
        <v>123</v>
      </c>
      <c r="AU20" s="177" t="s">
        <v>124</v>
      </c>
      <c r="AV20" s="177" t="s">
        <v>109</v>
      </c>
      <c r="AW20" s="177" t="s">
        <v>109</v>
      </c>
      <c r="AX20" s="177" t="s">
        <v>109</v>
      </c>
      <c r="AY20" s="177" t="s">
        <v>109</v>
      </c>
      <c r="AZ20" s="177" t="s">
        <v>109</v>
      </c>
      <c r="BA20" s="177" t="s">
        <v>125</v>
      </c>
      <c r="BB20" s="177" t="s">
        <v>109</v>
      </c>
      <c r="BC20" s="177" t="s">
        <v>126</v>
      </c>
      <c r="BD20" s="177" t="s">
        <v>109</v>
      </c>
      <c r="BE20" s="180" t="s">
        <v>255</v>
      </c>
      <c r="BF20" s="180" t="s">
        <v>256</v>
      </c>
      <c r="BG20" s="180">
        <v>45657</v>
      </c>
      <c r="BH20" s="177" t="s">
        <v>109</v>
      </c>
      <c r="BI20" s="177" t="s">
        <v>109</v>
      </c>
      <c r="BJ20" s="177" t="b">
        <v>0</v>
      </c>
      <c r="BK20" s="233">
        <v>16033.191210000001</v>
      </c>
      <c r="BL20" s="234" t="s">
        <v>128</v>
      </c>
      <c r="BM20" s="233">
        <v>0</v>
      </c>
      <c r="BN20" s="233">
        <v>1251.87988302504</v>
      </c>
      <c r="BO20" s="233">
        <v>1179.23228477118</v>
      </c>
      <c r="BP20" s="233">
        <v>581.62427231130005</v>
      </c>
      <c r="BQ20" s="233">
        <v>415.67460353208003</v>
      </c>
      <c r="BR20" s="233">
        <v>261.49209535900002</v>
      </c>
      <c r="BS20" s="233">
        <v>0</v>
      </c>
      <c r="BT20" s="233">
        <v>0</v>
      </c>
      <c r="BU20" s="233">
        <v>0</v>
      </c>
      <c r="BV20" s="233">
        <v>0</v>
      </c>
      <c r="BW20" s="233">
        <v>0</v>
      </c>
      <c r="BX20" s="233">
        <v>0</v>
      </c>
      <c r="BY20" s="234">
        <v>0</v>
      </c>
      <c r="BZ20" s="236" t="s">
        <v>109</v>
      </c>
      <c r="CA20" s="236" t="s">
        <v>109</v>
      </c>
      <c r="CB20" s="236" t="s">
        <v>174</v>
      </c>
      <c r="CC20" s="233">
        <v>0</v>
      </c>
      <c r="CD20" s="233">
        <v>0</v>
      </c>
      <c r="CE20" s="233">
        <v>0</v>
      </c>
      <c r="CF20" s="233">
        <v>957.39087726378</v>
      </c>
      <c r="CG20" s="233">
        <v>2732.5122617348202</v>
      </c>
      <c r="CH20" s="233">
        <v>0</v>
      </c>
      <c r="CI20" s="233">
        <v>0</v>
      </c>
      <c r="CJ20" s="237">
        <v>0</v>
      </c>
      <c r="CK20" s="177" t="s">
        <v>128</v>
      </c>
      <c r="CL20" s="177" t="s">
        <v>128</v>
      </c>
      <c r="CM20" s="155" t="s">
        <v>109</v>
      </c>
      <c r="CN20" s="229">
        <v>0</v>
      </c>
      <c r="CO20" s="229">
        <v>0</v>
      </c>
      <c r="CP20" t="s">
        <v>257</v>
      </c>
      <c r="CR20" s="248"/>
    </row>
    <row r="21" spans="1:96" ht="57.6" x14ac:dyDescent="0.3">
      <c r="A21">
        <v>18</v>
      </c>
      <c r="B21" s="173" t="s">
        <v>258</v>
      </c>
      <c r="C21" s="259"/>
      <c r="D21" s="260"/>
      <c r="E21" t="s">
        <v>119</v>
      </c>
      <c r="F21" t="s">
        <v>259</v>
      </c>
      <c r="G21" s="177" t="s">
        <v>245</v>
      </c>
      <c r="H21" s="177" t="s">
        <v>146</v>
      </c>
      <c r="I21" s="177" t="s">
        <v>109</v>
      </c>
      <c r="J21" s="177" t="s">
        <v>109</v>
      </c>
      <c r="K21" s="177" t="s">
        <v>250</v>
      </c>
      <c r="L21" s="177" t="s">
        <v>251</v>
      </c>
      <c r="M21" s="177" t="s">
        <v>109</v>
      </c>
      <c r="N21" s="177" t="s">
        <v>109</v>
      </c>
      <c r="O21" s="180" t="s">
        <v>109</v>
      </c>
      <c r="P21" s="177" t="s">
        <v>109</v>
      </c>
      <c r="Q21" s="177" t="s">
        <v>109</v>
      </c>
      <c r="R21" s="177" t="s">
        <v>109</v>
      </c>
      <c r="S21" s="177" t="s">
        <v>109</v>
      </c>
      <c r="T21" s="177" t="s">
        <v>116</v>
      </c>
      <c r="U21" s="177" t="s">
        <v>117</v>
      </c>
      <c r="V21" s="177" t="b">
        <v>0</v>
      </c>
      <c r="W21" s="177" t="s">
        <v>109</v>
      </c>
      <c r="X21" s="261"/>
      <c r="Y21" s="177" t="s">
        <v>109</v>
      </c>
      <c r="Z21" s="177" t="s">
        <v>109</v>
      </c>
      <c r="AA21" s="177" t="s">
        <v>109</v>
      </c>
      <c r="AB21" s="177" t="s">
        <v>109</v>
      </c>
      <c r="AC21" s="177" t="s">
        <v>109</v>
      </c>
      <c r="AD21" s="177" t="s">
        <v>260</v>
      </c>
      <c r="AE21" s="177" t="s">
        <v>261</v>
      </c>
      <c r="AF21" s="177">
        <v>1</v>
      </c>
      <c r="AG21" s="177">
        <v>925</v>
      </c>
      <c r="AH21" s="177" t="s">
        <v>121</v>
      </c>
      <c r="AI21" s="177" t="b">
        <v>1</v>
      </c>
      <c r="AJ21" s="180">
        <v>43544</v>
      </c>
      <c r="AK21" s="177" t="s">
        <v>122</v>
      </c>
      <c r="AL21" s="177" t="s">
        <v>109</v>
      </c>
      <c r="AM21" s="177" t="s">
        <v>109</v>
      </c>
      <c r="AN21" s="177" t="b">
        <v>0</v>
      </c>
      <c r="AO21" s="177" t="s">
        <v>109</v>
      </c>
      <c r="AP21" s="177" t="s">
        <v>109</v>
      </c>
      <c r="AQ21" s="177" t="s">
        <v>109</v>
      </c>
      <c r="AR21" s="177" t="b">
        <v>0</v>
      </c>
      <c r="AS21" s="177" t="s">
        <v>123</v>
      </c>
      <c r="AT21" s="180" t="s">
        <v>123</v>
      </c>
      <c r="AU21" s="177" t="s">
        <v>124</v>
      </c>
      <c r="AV21" s="177" t="s">
        <v>109</v>
      </c>
      <c r="AW21" s="177" t="s">
        <v>109</v>
      </c>
      <c r="AX21" s="177" t="s">
        <v>109</v>
      </c>
      <c r="AY21" s="177" t="s">
        <v>109</v>
      </c>
      <c r="AZ21" s="177" t="s">
        <v>109</v>
      </c>
      <c r="BA21" s="177" t="s">
        <v>218</v>
      </c>
      <c r="BB21" s="177" t="s">
        <v>109</v>
      </c>
      <c r="BC21" s="177" t="s">
        <v>126</v>
      </c>
      <c r="BD21" s="177" t="s">
        <v>109</v>
      </c>
      <c r="BE21" s="180" t="s">
        <v>262</v>
      </c>
      <c r="BF21" s="180" t="s">
        <v>172</v>
      </c>
      <c r="BG21" s="180">
        <v>44985</v>
      </c>
      <c r="BH21" s="177" t="s">
        <v>109</v>
      </c>
      <c r="BI21" s="177" t="s">
        <v>109</v>
      </c>
      <c r="BJ21" s="177" t="b">
        <v>1</v>
      </c>
      <c r="BK21" s="233">
        <v>4104.5360000000001</v>
      </c>
      <c r="BL21" s="234" t="s">
        <v>128</v>
      </c>
      <c r="BM21" s="233">
        <v>0</v>
      </c>
      <c r="BN21" s="233">
        <v>1804.9318411275999</v>
      </c>
      <c r="BO21" s="233">
        <v>661.62562794738005</v>
      </c>
      <c r="BP21" s="233">
        <v>91.014863524020001</v>
      </c>
      <c r="BQ21" s="233">
        <v>7.4539616862800004</v>
      </c>
      <c r="BR21" s="233">
        <v>0</v>
      </c>
      <c r="BS21" s="233">
        <v>0</v>
      </c>
      <c r="BT21" s="233">
        <v>32.253301266560001</v>
      </c>
      <c r="BU21" s="233">
        <v>32.253301266560001</v>
      </c>
      <c r="BV21" s="233">
        <v>0</v>
      </c>
      <c r="BW21" s="233">
        <v>0</v>
      </c>
      <c r="BX21" s="233">
        <v>0</v>
      </c>
      <c r="BY21" s="234">
        <v>0</v>
      </c>
      <c r="BZ21" s="236" t="s">
        <v>109</v>
      </c>
      <c r="CA21" s="236" t="s">
        <v>109</v>
      </c>
      <c r="CB21" s="236" t="s">
        <v>263</v>
      </c>
      <c r="CC21" s="233">
        <v>0</v>
      </c>
      <c r="CD21" s="233">
        <v>3146.6129039535799</v>
      </c>
      <c r="CE21" s="233">
        <v>91.014863524020001</v>
      </c>
      <c r="CF21" s="233">
        <v>7.4539616862800004</v>
      </c>
      <c r="CG21" s="233">
        <v>0</v>
      </c>
      <c r="CH21" s="233">
        <v>0</v>
      </c>
      <c r="CI21" s="233">
        <v>32.253301266560001</v>
      </c>
      <c r="CJ21" s="237">
        <v>0</v>
      </c>
      <c r="CK21" s="177" t="s">
        <v>128</v>
      </c>
      <c r="CL21" s="177" t="s">
        <v>128</v>
      </c>
      <c r="CM21" s="155" t="s">
        <v>109</v>
      </c>
      <c r="CN21" s="229">
        <v>0</v>
      </c>
      <c r="CO21" s="229">
        <v>0</v>
      </c>
      <c r="CP21" s="138" t="s">
        <v>264</v>
      </c>
      <c r="CR21" s="248"/>
    </row>
    <row r="22" spans="1:96" ht="14.4" x14ac:dyDescent="0.3">
      <c r="A22">
        <v>19</v>
      </c>
      <c r="B22" s="173" t="s">
        <v>265</v>
      </c>
      <c r="C22" s="259"/>
      <c r="D22" s="260"/>
      <c r="E22" t="s">
        <v>119</v>
      </c>
      <c r="F22" t="s">
        <v>266</v>
      </c>
      <c r="G22" s="177" t="s">
        <v>245</v>
      </c>
      <c r="H22" s="177" t="s">
        <v>146</v>
      </c>
      <c r="I22" s="177" t="s">
        <v>113</v>
      </c>
      <c r="J22" s="177" t="s">
        <v>109</v>
      </c>
      <c r="K22" s="177" t="s">
        <v>250</v>
      </c>
      <c r="L22" s="177" t="s">
        <v>207</v>
      </c>
      <c r="M22" s="177" t="s">
        <v>109</v>
      </c>
      <c r="N22" s="177" t="s">
        <v>109</v>
      </c>
      <c r="O22" s="180" t="s">
        <v>109</v>
      </c>
      <c r="P22" s="177" t="s">
        <v>109</v>
      </c>
      <c r="Q22" s="177" t="s">
        <v>109</v>
      </c>
      <c r="R22" s="177" t="s">
        <v>109</v>
      </c>
      <c r="S22" s="177" t="s">
        <v>109</v>
      </c>
      <c r="T22" s="177" t="s">
        <v>116</v>
      </c>
      <c r="U22" s="177" t="s">
        <v>117</v>
      </c>
      <c r="V22" s="177" t="b">
        <v>0</v>
      </c>
      <c r="W22" s="177" t="s">
        <v>109</v>
      </c>
      <c r="X22" s="261"/>
      <c r="Y22" s="177" t="s">
        <v>109</v>
      </c>
      <c r="Z22" s="177" t="s">
        <v>109</v>
      </c>
      <c r="AA22" s="177" t="s">
        <v>109</v>
      </c>
      <c r="AB22" s="177" t="s">
        <v>109</v>
      </c>
      <c r="AC22" s="177" t="s">
        <v>109</v>
      </c>
      <c r="AD22" s="177" t="s">
        <v>267</v>
      </c>
      <c r="AE22" s="177" t="s">
        <v>268</v>
      </c>
      <c r="AF22" s="177">
        <v>1</v>
      </c>
      <c r="AG22" s="177">
        <v>925</v>
      </c>
      <c r="AH22" s="177" t="s">
        <v>121</v>
      </c>
      <c r="AI22" s="177" t="b">
        <v>1</v>
      </c>
      <c r="AJ22" s="180">
        <v>43648</v>
      </c>
      <c r="AK22" s="177" t="s">
        <v>122</v>
      </c>
      <c r="AL22" s="177" t="s">
        <v>109</v>
      </c>
      <c r="AM22" s="177" t="s">
        <v>109</v>
      </c>
      <c r="AN22" s="177" t="b">
        <v>0</v>
      </c>
      <c r="AO22" s="177" t="s">
        <v>109</v>
      </c>
      <c r="AP22" s="177" t="s">
        <v>109</v>
      </c>
      <c r="AQ22" s="177" t="s">
        <v>109</v>
      </c>
      <c r="AR22" s="177" t="b">
        <v>0</v>
      </c>
      <c r="AS22" s="177" t="s">
        <v>123</v>
      </c>
      <c r="AT22" s="180" t="s">
        <v>123</v>
      </c>
      <c r="AU22" s="177" t="s">
        <v>124</v>
      </c>
      <c r="AV22" s="177" t="s">
        <v>109</v>
      </c>
      <c r="AW22" s="177" t="s">
        <v>109</v>
      </c>
      <c r="AX22" s="177" t="s">
        <v>109</v>
      </c>
      <c r="AY22" s="177" t="s">
        <v>109</v>
      </c>
      <c r="AZ22" s="177" t="s">
        <v>109</v>
      </c>
      <c r="BA22" s="177" t="s">
        <v>125</v>
      </c>
      <c r="BB22" s="177" t="s">
        <v>109</v>
      </c>
      <c r="BC22" s="177" t="s">
        <v>126</v>
      </c>
      <c r="BD22" s="177" t="s">
        <v>109</v>
      </c>
      <c r="BE22" s="180" t="s">
        <v>269</v>
      </c>
      <c r="BF22" s="180" t="s">
        <v>172</v>
      </c>
      <c r="BG22" s="180">
        <v>45382</v>
      </c>
      <c r="BH22" s="177" t="s">
        <v>109</v>
      </c>
      <c r="BI22" s="177" t="s">
        <v>109</v>
      </c>
      <c r="BJ22" s="177" t="b">
        <v>0</v>
      </c>
      <c r="BK22" s="233">
        <v>3665.3890000000001</v>
      </c>
      <c r="BL22" s="234" t="s">
        <v>128</v>
      </c>
      <c r="BM22" s="233">
        <v>0</v>
      </c>
      <c r="BN22" s="233">
        <v>701.04833642287997</v>
      </c>
      <c r="BO22" s="233">
        <v>634.00384879865999</v>
      </c>
      <c r="BP22" s="233">
        <v>580.17644454599997</v>
      </c>
      <c r="BQ22" s="233">
        <v>21.15601242308</v>
      </c>
      <c r="BR22" s="233">
        <v>-2.8957040000022999E-4</v>
      </c>
      <c r="BS22" s="233">
        <v>0</v>
      </c>
      <c r="BT22" s="233">
        <v>0</v>
      </c>
      <c r="BU22" s="233">
        <v>0</v>
      </c>
      <c r="BV22" s="233">
        <v>0</v>
      </c>
      <c r="BW22" s="233">
        <v>0</v>
      </c>
      <c r="BX22" s="233">
        <v>0</v>
      </c>
      <c r="BY22" s="234">
        <v>0</v>
      </c>
      <c r="BZ22" s="236" t="s">
        <v>109</v>
      </c>
      <c r="CA22" s="236" t="s">
        <v>109</v>
      </c>
      <c r="CB22" s="236" t="s">
        <v>270</v>
      </c>
      <c r="CC22" s="233">
        <v>0</v>
      </c>
      <c r="CD22" s="233">
        <v>0</v>
      </c>
      <c r="CE22" s="233">
        <v>2395.1786507177399</v>
      </c>
      <c r="CF22" s="233">
        <v>21.15601242308</v>
      </c>
      <c r="CG22" s="233">
        <v>-2.8957040000022999E-4</v>
      </c>
      <c r="CH22" s="233">
        <v>0</v>
      </c>
      <c r="CI22" s="233">
        <v>0</v>
      </c>
      <c r="CJ22" s="237">
        <v>0</v>
      </c>
      <c r="CK22" s="177" t="s">
        <v>128</v>
      </c>
      <c r="CL22" s="177" t="s">
        <v>128</v>
      </c>
      <c r="CM22" s="155" t="s">
        <v>109</v>
      </c>
      <c r="CN22" s="229">
        <v>0</v>
      </c>
      <c r="CO22" s="229">
        <v>0</v>
      </c>
      <c r="CP22" t="s">
        <v>271</v>
      </c>
      <c r="CR22" s="248"/>
    </row>
    <row r="23" spans="1:96" ht="43.2" x14ac:dyDescent="0.3">
      <c r="A23">
        <v>20</v>
      </c>
      <c r="B23" s="173" t="s">
        <v>272</v>
      </c>
      <c r="C23" s="259"/>
      <c r="D23" s="260"/>
      <c r="E23" t="s">
        <v>119</v>
      </c>
      <c r="F23" t="s">
        <v>273</v>
      </c>
      <c r="G23" s="177" t="s">
        <v>274</v>
      </c>
      <c r="H23" s="177" t="s">
        <v>146</v>
      </c>
      <c r="I23" s="177" t="s">
        <v>275</v>
      </c>
      <c r="J23" s="177" t="s">
        <v>109</v>
      </c>
      <c r="K23" s="177" t="s">
        <v>114</v>
      </c>
      <c r="L23" s="177" t="s">
        <v>207</v>
      </c>
      <c r="M23" s="177" t="s">
        <v>109</v>
      </c>
      <c r="N23" s="177" t="s">
        <v>109</v>
      </c>
      <c r="O23" s="180" t="s">
        <v>109</v>
      </c>
      <c r="P23" s="177" t="s">
        <v>109</v>
      </c>
      <c r="Q23" s="177" t="s">
        <v>109</v>
      </c>
      <c r="R23" s="177" t="s">
        <v>109</v>
      </c>
      <c r="S23" s="177" t="s">
        <v>109</v>
      </c>
      <c r="T23" s="177" t="s">
        <v>116</v>
      </c>
      <c r="U23" s="177" t="s">
        <v>117</v>
      </c>
      <c r="V23" s="177" t="b">
        <v>0</v>
      </c>
      <c r="W23" s="177" t="s">
        <v>109</v>
      </c>
      <c r="X23" s="261"/>
      <c r="Y23" s="177" t="s">
        <v>109</v>
      </c>
      <c r="Z23" s="177" t="s">
        <v>109</v>
      </c>
      <c r="AA23" s="177" t="s">
        <v>109</v>
      </c>
      <c r="AB23" s="177" t="s">
        <v>109</v>
      </c>
      <c r="AC23" s="177" t="s">
        <v>109</v>
      </c>
      <c r="AD23" s="177" t="s">
        <v>276</v>
      </c>
      <c r="AE23" s="177" t="s">
        <v>277</v>
      </c>
      <c r="AF23" s="177">
        <v>1</v>
      </c>
      <c r="AG23" s="177">
        <v>925</v>
      </c>
      <c r="AH23" s="177" t="s">
        <v>121</v>
      </c>
      <c r="AI23" s="177" t="b">
        <v>1</v>
      </c>
      <c r="AJ23" s="180" t="s">
        <v>278</v>
      </c>
      <c r="AK23" s="177" t="s">
        <v>122</v>
      </c>
      <c r="AL23" s="177" t="s">
        <v>109</v>
      </c>
      <c r="AM23" s="177" t="s">
        <v>109</v>
      </c>
      <c r="AN23" s="177" t="b">
        <v>0</v>
      </c>
      <c r="AO23" s="177" t="s">
        <v>109</v>
      </c>
      <c r="AP23" s="177" t="s">
        <v>109</v>
      </c>
      <c r="AQ23" s="177" t="s">
        <v>109</v>
      </c>
      <c r="AR23" s="177" t="b">
        <v>0</v>
      </c>
      <c r="AS23" s="177" t="s">
        <v>123</v>
      </c>
      <c r="AT23" s="180" t="s">
        <v>123</v>
      </c>
      <c r="AU23" s="177" t="s">
        <v>124</v>
      </c>
      <c r="AV23" s="177" t="s">
        <v>109</v>
      </c>
      <c r="AW23" s="177" t="s">
        <v>109</v>
      </c>
      <c r="AX23" s="177" t="s">
        <v>109</v>
      </c>
      <c r="AY23" s="177" t="s">
        <v>109</v>
      </c>
      <c r="AZ23" s="177" t="s">
        <v>109</v>
      </c>
      <c r="BA23" s="177" t="s">
        <v>218</v>
      </c>
      <c r="BB23" s="177" t="s">
        <v>109</v>
      </c>
      <c r="BC23" s="177" t="s">
        <v>126</v>
      </c>
      <c r="BD23" s="177" t="s">
        <v>109</v>
      </c>
      <c r="BE23" s="180" t="s">
        <v>279</v>
      </c>
      <c r="BF23" s="180" t="s">
        <v>280</v>
      </c>
      <c r="BG23" s="180">
        <v>44712</v>
      </c>
      <c r="BH23" s="177" t="s">
        <v>109</v>
      </c>
      <c r="BI23" s="177" t="s">
        <v>109</v>
      </c>
      <c r="BJ23" s="177" t="b">
        <v>1</v>
      </c>
      <c r="BK23" s="233">
        <v>7691.2979999999998</v>
      </c>
      <c r="BL23" s="234" t="s">
        <v>128</v>
      </c>
      <c r="BM23" s="233">
        <v>0</v>
      </c>
      <c r="BN23" s="233">
        <v>768.63665741371994</v>
      </c>
      <c r="BO23" s="233">
        <v>-0.11698727657999999</v>
      </c>
      <c r="BP23" s="233">
        <v>35.46567134064</v>
      </c>
      <c r="BQ23" s="233">
        <v>0</v>
      </c>
      <c r="BR23" s="233">
        <v>8.8644000000002196E-6</v>
      </c>
      <c r="BS23" s="233">
        <v>0</v>
      </c>
      <c r="BT23" s="233">
        <v>0.13738043263999999</v>
      </c>
      <c r="BU23" s="233">
        <v>0</v>
      </c>
      <c r="BV23" s="233">
        <v>0</v>
      </c>
      <c r="BW23" s="233">
        <v>0</v>
      </c>
      <c r="BX23" s="233">
        <v>0</v>
      </c>
      <c r="BY23" s="234">
        <v>0</v>
      </c>
      <c r="BZ23" s="236" t="s">
        <v>109</v>
      </c>
      <c r="CA23" s="236" t="s">
        <v>109</v>
      </c>
      <c r="CB23" s="236" t="s">
        <v>281</v>
      </c>
      <c r="CC23" s="233">
        <v>2239.30832100628</v>
      </c>
      <c r="CD23" s="233">
        <v>-0.11698727657999999</v>
      </c>
      <c r="CE23" s="233">
        <v>35.46567134064</v>
      </c>
      <c r="CF23" s="233">
        <v>0</v>
      </c>
      <c r="CG23" s="233">
        <v>8.8644000000002196E-6</v>
      </c>
      <c r="CH23" s="233">
        <v>0</v>
      </c>
      <c r="CI23" s="233">
        <v>0.13738043263999999</v>
      </c>
      <c r="CJ23" s="237">
        <v>0</v>
      </c>
      <c r="CK23" s="177" t="s">
        <v>128</v>
      </c>
      <c r="CL23" s="177" t="s">
        <v>128</v>
      </c>
      <c r="CM23" s="155" t="s">
        <v>109</v>
      </c>
      <c r="CN23" s="229">
        <v>0</v>
      </c>
      <c r="CO23" s="229">
        <v>0</v>
      </c>
      <c r="CP23" s="138" t="s">
        <v>282</v>
      </c>
      <c r="CR23" s="248"/>
    </row>
    <row r="24" spans="1:96" ht="86.4" x14ac:dyDescent="0.3">
      <c r="A24">
        <v>21</v>
      </c>
      <c r="B24" s="173" t="s">
        <v>283</v>
      </c>
      <c r="C24" s="259"/>
      <c r="D24" s="260"/>
      <c r="E24" t="s">
        <v>119</v>
      </c>
      <c r="F24" t="s">
        <v>284</v>
      </c>
      <c r="G24" s="177" t="s">
        <v>274</v>
      </c>
      <c r="H24" s="177" t="s">
        <v>112</v>
      </c>
      <c r="I24" s="177" t="s">
        <v>113</v>
      </c>
      <c r="J24" s="177" t="s">
        <v>109</v>
      </c>
      <c r="K24" s="177" t="s">
        <v>114</v>
      </c>
      <c r="L24" s="177" t="s">
        <v>207</v>
      </c>
      <c r="M24" s="177" t="s">
        <v>109</v>
      </c>
      <c r="N24" s="177" t="s">
        <v>109</v>
      </c>
      <c r="O24" s="180" t="s">
        <v>109</v>
      </c>
      <c r="P24" s="177" t="s">
        <v>109</v>
      </c>
      <c r="Q24" s="177" t="s">
        <v>109</v>
      </c>
      <c r="R24" s="177" t="s">
        <v>109</v>
      </c>
      <c r="S24" s="177" t="s">
        <v>109</v>
      </c>
      <c r="T24" s="177" t="s">
        <v>285</v>
      </c>
      <c r="U24" s="177" t="s">
        <v>117</v>
      </c>
      <c r="V24" s="177" t="b">
        <v>0</v>
      </c>
      <c r="W24" s="177" t="s">
        <v>109</v>
      </c>
      <c r="X24" s="261"/>
      <c r="Y24" s="177" t="s">
        <v>109</v>
      </c>
      <c r="Z24" s="177" t="s">
        <v>109</v>
      </c>
      <c r="AA24" s="177" t="s">
        <v>109</v>
      </c>
      <c r="AB24" s="177" t="s">
        <v>109</v>
      </c>
      <c r="AC24" s="177" t="s">
        <v>109</v>
      </c>
      <c r="AD24" s="177" t="s">
        <v>286</v>
      </c>
      <c r="AE24" s="177" t="s">
        <v>287</v>
      </c>
      <c r="AF24" s="177">
        <v>1</v>
      </c>
      <c r="AG24" s="177">
        <v>925</v>
      </c>
      <c r="AH24" s="177" t="s">
        <v>121</v>
      </c>
      <c r="AI24" s="177" t="b">
        <v>1</v>
      </c>
      <c r="AJ24" s="180" t="s">
        <v>288</v>
      </c>
      <c r="AK24" s="177" t="s">
        <v>122</v>
      </c>
      <c r="AL24" s="177" t="s">
        <v>109</v>
      </c>
      <c r="AM24" s="177" t="s">
        <v>109</v>
      </c>
      <c r="AN24" s="177" t="b">
        <v>0</v>
      </c>
      <c r="AO24" s="177" t="s">
        <v>109</v>
      </c>
      <c r="AP24" s="177" t="s">
        <v>109</v>
      </c>
      <c r="AQ24" s="177" t="s">
        <v>109</v>
      </c>
      <c r="AR24" s="177" t="b">
        <v>0</v>
      </c>
      <c r="AS24" s="177" t="s">
        <v>123</v>
      </c>
      <c r="AT24" s="180" t="s">
        <v>123</v>
      </c>
      <c r="AU24" s="177" t="s">
        <v>124</v>
      </c>
      <c r="AV24" s="177" t="s">
        <v>109</v>
      </c>
      <c r="AW24" s="177" t="s">
        <v>109</v>
      </c>
      <c r="AX24" s="177" t="s">
        <v>109</v>
      </c>
      <c r="AY24" s="177" t="s">
        <v>109</v>
      </c>
      <c r="AZ24" s="177" t="s">
        <v>109</v>
      </c>
      <c r="BA24" s="177" t="s">
        <v>218</v>
      </c>
      <c r="BB24" s="177" t="s">
        <v>109</v>
      </c>
      <c r="BC24" s="177" t="s">
        <v>126</v>
      </c>
      <c r="BD24" s="177" t="s">
        <v>109</v>
      </c>
      <c r="BE24" s="180" t="s">
        <v>289</v>
      </c>
      <c r="BF24" s="180" t="s">
        <v>290</v>
      </c>
      <c r="BG24" s="180">
        <v>44926</v>
      </c>
      <c r="BH24" s="177" t="s">
        <v>109</v>
      </c>
      <c r="BI24" s="177" t="s">
        <v>109</v>
      </c>
      <c r="BJ24" s="177" t="b">
        <v>1</v>
      </c>
      <c r="BK24" s="233">
        <v>16219.699000000001</v>
      </c>
      <c r="BL24" s="234" t="s">
        <v>128</v>
      </c>
      <c r="BM24" s="233">
        <v>0</v>
      </c>
      <c r="BN24" s="233">
        <v>151.81582149767999</v>
      </c>
      <c r="BO24" s="233">
        <v>99.221090573879906</v>
      </c>
      <c r="BP24" s="233">
        <v>4.0466098473300001</v>
      </c>
      <c r="BQ24" s="233">
        <v>0</v>
      </c>
      <c r="BR24" s="233">
        <v>0</v>
      </c>
      <c r="BS24" s="233">
        <v>0</v>
      </c>
      <c r="BT24" s="233">
        <v>0</v>
      </c>
      <c r="BU24" s="233">
        <v>0</v>
      </c>
      <c r="BV24" s="233">
        <v>0</v>
      </c>
      <c r="BW24" s="233">
        <v>0</v>
      </c>
      <c r="BX24" s="233">
        <v>0</v>
      </c>
      <c r="BY24" s="234">
        <v>0</v>
      </c>
      <c r="BZ24" s="236" t="s">
        <v>109</v>
      </c>
      <c r="CA24" s="236" t="s">
        <v>109</v>
      </c>
      <c r="CB24" s="236" t="s">
        <v>291</v>
      </c>
      <c r="CC24" s="233">
        <v>1.7392687093600001</v>
      </c>
      <c r="CD24" s="233">
        <v>-7.8050287799999998E-3</v>
      </c>
      <c r="CE24" s="233">
        <v>0</v>
      </c>
      <c r="CF24" s="233">
        <v>0</v>
      </c>
      <c r="CG24" s="233">
        <v>0</v>
      </c>
      <c r="CH24" s="233">
        <v>0</v>
      </c>
      <c r="CI24" s="233">
        <v>9.0694999999999994E-3</v>
      </c>
      <c r="CJ24" s="237">
        <v>0</v>
      </c>
      <c r="CK24" s="177" t="s">
        <v>128</v>
      </c>
      <c r="CL24" s="177" t="s">
        <v>128</v>
      </c>
      <c r="CM24" s="155" t="s">
        <v>109</v>
      </c>
      <c r="CN24" s="229">
        <v>0</v>
      </c>
      <c r="CO24" s="229">
        <v>0</v>
      </c>
      <c r="CP24" s="138" t="s">
        <v>292</v>
      </c>
      <c r="CR24" s="248"/>
    </row>
    <row r="25" spans="1:96" ht="43.2" x14ac:dyDescent="0.3">
      <c r="A25">
        <v>22</v>
      </c>
      <c r="B25" s="173" t="s">
        <v>293</v>
      </c>
      <c r="C25" s="259"/>
      <c r="D25" s="260"/>
      <c r="E25" t="s">
        <v>119</v>
      </c>
      <c r="F25" t="s">
        <v>259</v>
      </c>
      <c r="G25" s="177" t="s">
        <v>245</v>
      </c>
      <c r="H25" s="177" t="s">
        <v>146</v>
      </c>
      <c r="I25" s="177" t="s">
        <v>109</v>
      </c>
      <c r="J25" s="177" t="s">
        <v>109</v>
      </c>
      <c r="K25" s="177" t="s">
        <v>250</v>
      </c>
      <c r="L25" s="177" t="s">
        <v>251</v>
      </c>
      <c r="M25" s="177" t="s">
        <v>109</v>
      </c>
      <c r="N25" s="177" t="s">
        <v>109</v>
      </c>
      <c r="O25" s="180" t="s">
        <v>109</v>
      </c>
      <c r="P25" s="177" t="s">
        <v>109</v>
      </c>
      <c r="Q25" s="177" t="s">
        <v>109</v>
      </c>
      <c r="R25" s="177" t="s">
        <v>109</v>
      </c>
      <c r="S25" s="177" t="s">
        <v>109</v>
      </c>
      <c r="T25" s="177" t="s">
        <v>116</v>
      </c>
      <c r="U25" s="177" t="s">
        <v>117</v>
      </c>
      <c r="V25" s="177" t="b">
        <v>0</v>
      </c>
      <c r="W25" s="177" t="s">
        <v>109</v>
      </c>
      <c r="X25" s="261"/>
      <c r="Y25" s="177" t="s">
        <v>109</v>
      </c>
      <c r="Z25" s="177" t="s">
        <v>109</v>
      </c>
      <c r="AA25" s="177" t="s">
        <v>109</v>
      </c>
      <c r="AB25" s="177" t="s">
        <v>109</v>
      </c>
      <c r="AC25" s="177" t="s">
        <v>109</v>
      </c>
      <c r="AD25" s="177" t="s">
        <v>294</v>
      </c>
      <c r="AE25" s="177" t="s">
        <v>109</v>
      </c>
      <c r="AF25" s="177">
        <v>1</v>
      </c>
      <c r="AG25" s="177">
        <v>925</v>
      </c>
      <c r="AH25" s="177" t="s">
        <v>295</v>
      </c>
      <c r="AI25" s="177" t="b">
        <v>1</v>
      </c>
      <c r="AJ25" s="180" t="s">
        <v>109</v>
      </c>
      <c r="AK25" s="177" t="s">
        <v>122</v>
      </c>
      <c r="AL25" s="177" t="s">
        <v>109</v>
      </c>
      <c r="AM25" s="177" t="s">
        <v>109</v>
      </c>
      <c r="AN25" s="177" t="b">
        <v>0</v>
      </c>
      <c r="AO25" s="177" t="s">
        <v>109</v>
      </c>
      <c r="AP25" s="177" t="s">
        <v>109</v>
      </c>
      <c r="AQ25" s="177" t="s">
        <v>109</v>
      </c>
      <c r="AR25" s="177" t="b">
        <v>0</v>
      </c>
      <c r="AS25" s="177" t="s">
        <v>123</v>
      </c>
      <c r="AT25" s="180" t="s">
        <v>123</v>
      </c>
      <c r="AU25" s="177" t="s">
        <v>124</v>
      </c>
      <c r="AV25" s="177" t="s">
        <v>109</v>
      </c>
      <c r="AW25" s="177" t="s">
        <v>109</v>
      </c>
      <c r="AX25" s="177" t="s">
        <v>109</v>
      </c>
      <c r="AY25" s="177" t="s">
        <v>109</v>
      </c>
      <c r="AZ25" s="177" t="s">
        <v>109</v>
      </c>
      <c r="BA25" s="177" t="s">
        <v>218</v>
      </c>
      <c r="BB25" s="177" t="s">
        <v>109</v>
      </c>
      <c r="BC25" s="177" t="s">
        <v>296</v>
      </c>
      <c r="BD25" s="177" t="s">
        <v>109</v>
      </c>
      <c r="BE25" s="180" t="s">
        <v>297</v>
      </c>
      <c r="BF25" s="180" t="s">
        <v>109</v>
      </c>
      <c r="BG25" s="180" t="s">
        <v>297</v>
      </c>
      <c r="BH25" s="177" t="s">
        <v>109</v>
      </c>
      <c r="BI25" s="177" t="s">
        <v>109</v>
      </c>
      <c r="BJ25" s="177" t="b">
        <v>0</v>
      </c>
      <c r="BK25" s="233" t="s">
        <v>109</v>
      </c>
      <c r="BL25" s="234" t="s">
        <v>128</v>
      </c>
      <c r="BM25" s="233">
        <v>0</v>
      </c>
      <c r="BN25" s="233">
        <v>0</v>
      </c>
      <c r="BO25" s="233">
        <v>0</v>
      </c>
      <c r="BP25" s="233">
        <v>0</v>
      </c>
      <c r="BQ25" s="233">
        <v>0</v>
      </c>
      <c r="BR25" s="233">
        <v>0</v>
      </c>
      <c r="BS25" s="233">
        <v>0</v>
      </c>
      <c r="BT25" s="233">
        <v>0</v>
      </c>
      <c r="BU25" s="233">
        <v>0</v>
      </c>
      <c r="BV25" s="233">
        <v>0</v>
      </c>
      <c r="BW25" s="233">
        <v>0</v>
      </c>
      <c r="BX25" s="233">
        <v>0</v>
      </c>
      <c r="BY25" s="234">
        <v>0</v>
      </c>
      <c r="BZ25" s="236" t="s">
        <v>109</v>
      </c>
      <c r="CA25" s="236" t="s">
        <v>109</v>
      </c>
      <c r="CB25" s="236" t="s">
        <v>109</v>
      </c>
      <c r="CC25" s="233">
        <v>0</v>
      </c>
      <c r="CD25" s="233">
        <v>0</v>
      </c>
      <c r="CE25" s="233">
        <v>0</v>
      </c>
      <c r="CF25" s="233">
        <v>0</v>
      </c>
      <c r="CG25" s="233">
        <v>0</v>
      </c>
      <c r="CH25" s="233">
        <v>0</v>
      </c>
      <c r="CI25" s="233">
        <v>0</v>
      </c>
      <c r="CJ25" s="237">
        <v>0</v>
      </c>
      <c r="CK25" s="177" t="s">
        <v>128</v>
      </c>
      <c r="CL25" s="177" t="s">
        <v>128</v>
      </c>
      <c r="CM25" s="155" t="s">
        <v>109</v>
      </c>
      <c r="CN25" s="229">
        <v>0</v>
      </c>
      <c r="CO25" s="229">
        <v>0</v>
      </c>
      <c r="CP25" s="138" t="s">
        <v>282</v>
      </c>
      <c r="CR25" s="248"/>
    </row>
    <row r="26" spans="1:96" ht="14.4" x14ac:dyDescent="0.3">
      <c r="A26">
        <v>23</v>
      </c>
      <c r="B26" s="173" t="s">
        <v>298</v>
      </c>
      <c r="C26" s="259"/>
      <c r="D26" s="260"/>
      <c r="E26" t="s">
        <v>109</v>
      </c>
      <c r="F26" t="s">
        <v>299</v>
      </c>
      <c r="G26" s="177" t="s">
        <v>111</v>
      </c>
      <c r="H26" s="177" t="s">
        <v>146</v>
      </c>
      <c r="I26" s="177" t="s">
        <v>113</v>
      </c>
      <c r="J26" s="177" t="s">
        <v>109</v>
      </c>
      <c r="K26" s="177" t="s">
        <v>114</v>
      </c>
      <c r="L26" s="177" t="s">
        <v>115</v>
      </c>
      <c r="M26" s="177" t="s">
        <v>109</v>
      </c>
      <c r="N26" s="177" t="s">
        <v>109</v>
      </c>
      <c r="O26" s="180" t="s">
        <v>109</v>
      </c>
      <c r="P26" s="177" t="s">
        <v>109</v>
      </c>
      <c r="Q26" s="177" t="s">
        <v>109</v>
      </c>
      <c r="R26" s="177" t="s">
        <v>109</v>
      </c>
      <c r="S26" s="177" t="s">
        <v>109</v>
      </c>
      <c r="T26" s="177" t="s">
        <v>116</v>
      </c>
      <c r="U26" s="177" t="s">
        <v>117</v>
      </c>
      <c r="V26" s="177" t="b">
        <v>0</v>
      </c>
      <c r="W26" s="177" t="s">
        <v>109</v>
      </c>
      <c r="X26" s="261"/>
      <c r="Y26" s="177" t="s">
        <v>118</v>
      </c>
      <c r="Z26" s="177" t="s">
        <v>118</v>
      </c>
      <c r="AA26" s="177" t="s">
        <v>119</v>
      </c>
      <c r="AB26" s="177" t="s">
        <v>109</v>
      </c>
      <c r="AC26" s="177">
        <v>4.0999999999999996</v>
      </c>
      <c r="AD26" s="177" t="s">
        <v>119</v>
      </c>
      <c r="AE26" s="177" t="s">
        <v>300</v>
      </c>
      <c r="AF26" s="177">
        <v>226</v>
      </c>
      <c r="AG26" s="177">
        <v>1145</v>
      </c>
      <c r="AH26" s="177" t="s">
        <v>121</v>
      </c>
      <c r="AI26" s="177" t="b">
        <v>1</v>
      </c>
      <c r="AJ26" s="180">
        <v>45637</v>
      </c>
      <c r="AK26" s="177" t="s">
        <v>122</v>
      </c>
      <c r="AL26" s="177" t="s">
        <v>109</v>
      </c>
      <c r="AM26" s="177" t="s">
        <v>109</v>
      </c>
      <c r="AN26" s="177" t="b">
        <v>0</v>
      </c>
      <c r="AO26" s="177" t="s">
        <v>109</v>
      </c>
      <c r="AP26" s="177" t="s">
        <v>109</v>
      </c>
      <c r="AQ26" s="177" t="s">
        <v>118</v>
      </c>
      <c r="AR26" s="177" t="b">
        <v>0</v>
      </c>
      <c r="AS26" s="177" t="s">
        <v>123</v>
      </c>
      <c r="AT26" s="180" t="s">
        <v>123</v>
      </c>
      <c r="AU26" s="177" t="s">
        <v>124</v>
      </c>
      <c r="AV26" s="177" t="s">
        <v>109</v>
      </c>
      <c r="AW26" s="177" t="s">
        <v>118</v>
      </c>
      <c r="AX26" s="177" t="s">
        <v>118</v>
      </c>
      <c r="AY26" s="177" t="s">
        <v>109</v>
      </c>
      <c r="AZ26" s="177" t="s">
        <v>109</v>
      </c>
      <c r="BA26" s="177" t="s">
        <v>125</v>
      </c>
      <c r="BB26" s="177" t="s">
        <v>109</v>
      </c>
      <c r="BC26" s="177" t="s">
        <v>296</v>
      </c>
      <c r="BD26" s="177" t="s">
        <v>109</v>
      </c>
      <c r="BE26" s="180" t="s">
        <v>109</v>
      </c>
      <c r="BF26" s="180" t="s">
        <v>127</v>
      </c>
      <c r="BG26" s="180" t="s">
        <v>119</v>
      </c>
      <c r="BH26" s="177" t="s">
        <v>109</v>
      </c>
      <c r="BI26" s="177" t="s">
        <v>109</v>
      </c>
      <c r="BJ26" s="177" t="b">
        <v>1</v>
      </c>
      <c r="BK26" s="233" t="s">
        <v>109</v>
      </c>
      <c r="BL26" s="234" t="s">
        <v>128</v>
      </c>
      <c r="BM26" s="233">
        <f>201337.302059721-SUM(BM27:BM41)</f>
        <v>164324.27563620405</v>
      </c>
      <c r="BN26" s="235">
        <f>10569.3698967-SUM(BN27:BN41)</f>
        <v>5055.7090974999992</v>
      </c>
      <c r="BO26" s="235">
        <f>6235.0399125-SUM(BO27:BO41)</f>
        <v>2000.4825515000002</v>
      </c>
      <c r="BP26" s="235">
        <f>6887.2486507-SUM(BP27:BP41)</f>
        <v>3231.5018471999997</v>
      </c>
      <c r="BQ26" s="235">
        <f>8253.2527051-SUM(BQ27:BQ41)</f>
        <v>3530.5402310999989</v>
      </c>
      <c r="BR26" s="235">
        <f>7751.508498-SUM(BR27:BR41)</f>
        <v>2858.2748799999999</v>
      </c>
      <c r="BS26" s="235">
        <f>1063.068094-SUM(BS27:BS41)</f>
        <v>404.68221799999992</v>
      </c>
      <c r="BT26" s="235">
        <f>10762.1361113-SUM(BT27:BT41)</f>
        <v>10328.4969392</v>
      </c>
      <c r="BU26" s="235">
        <f>9038.7052912-SUM(BU27:BU41)</f>
        <v>8899.5078603000002</v>
      </c>
      <c r="BV26" s="235">
        <f>9585.6485332-SUM(BV27:BV41)</f>
        <v>9585.6485331999993</v>
      </c>
      <c r="BW26" s="235">
        <f>10951.9127169-SUM(BW27:BW41)</f>
        <v>10951.9127169</v>
      </c>
      <c r="BX26" s="235">
        <f>11995.9416214-SUM(BX27:BX41)</f>
        <v>11995.941621399999</v>
      </c>
      <c r="BY26" s="234">
        <v>1484.8186999999998</v>
      </c>
      <c r="BZ26" s="236" t="s">
        <v>109</v>
      </c>
      <c r="CA26" s="236" t="s">
        <v>109</v>
      </c>
      <c r="CB26" s="236" t="s">
        <v>129</v>
      </c>
      <c r="CC26" s="235">
        <f>15593.0065875-SUM(CC27:CC41)</f>
        <v>6994.7740931000008</v>
      </c>
      <c r="CD26" s="235">
        <f>9364.2550877-SUM(CD27:CD41)</f>
        <v>1450.7637685999989</v>
      </c>
      <c r="CE26" s="235">
        <f>5861.0464607-SUM(CE27:CE41)</f>
        <v>3832.8418007</v>
      </c>
      <c r="CF26" s="235">
        <f>6878.472199-SUM(CF27:CF41)</f>
        <v>3061.5391799999998</v>
      </c>
      <c r="CG26" s="235">
        <f>9608.6250787-SUM(CG27:CG41)</f>
        <v>6037.7036387000007</v>
      </c>
      <c r="CH26" s="235">
        <f>721.2403707-SUM(CH27:CH41)</f>
        <v>857.57926069999996</v>
      </c>
      <c r="CI26" s="235">
        <f>9916.6229142-SUM(CI27:CI41)</f>
        <v>968.04973099999916</v>
      </c>
      <c r="CJ26" s="237">
        <v>0</v>
      </c>
      <c r="CK26" s="177" t="s">
        <v>128</v>
      </c>
      <c r="CL26" s="177">
        <v>31.6</v>
      </c>
      <c r="CM26" s="155" t="s">
        <v>109</v>
      </c>
      <c r="CN26" s="229">
        <v>0.13550000000000001</v>
      </c>
      <c r="CO26" s="229">
        <v>0.86450000000000005</v>
      </c>
      <c r="CP26" t="s">
        <v>155</v>
      </c>
      <c r="CR26" s="248"/>
    </row>
    <row r="27" spans="1:96" ht="28.8" x14ac:dyDescent="0.3">
      <c r="A27">
        <v>24</v>
      </c>
      <c r="B27" s="173" t="s">
        <v>301</v>
      </c>
      <c r="C27" s="259"/>
      <c r="D27" s="260"/>
      <c r="E27" t="s">
        <v>164</v>
      </c>
      <c r="F27" t="s">
        <v>302</v>
      </c>
      <c r="G27" s="177" t="s">
        <v>186</v>
      </c>
      <c r="H27" s="177" t="s">
        <v>113</v>
      </c>
      <c r="I27" s="177" t="s">
        <v>113</v>
      </c>
      <c r="J27" s="177" t="s">
        <v>109</v>
      </c>
      <c r="K27" s="177" t="s">
        <v>234</v>
      </c>
      <c r="L27" s="177" t="s">
        <v>303</v>
      </c>
      <c r="M27" s="177" t="s">
        <v>109</v>
      </c>
      <c r="N27" s="177" t="s">
        <v>109</v>
      </c>
      <c r="O27" s="180">
        <v>45789</v>
      </c>
      <c r="P27" s="177" t="s">
        <v>109</v>
      </c>
      <c r="Q27" s="177" t="s">
        <v>109</v>
      </c>
      <c r="R27" s="177" t="s">
        <v>109</v>
      </c>
      <c r="S27" s="177" t="s">
        <v>109</v>
      </c>
      <c r="T27" s="177" t="s">
        <v>116</v>
      </c>
      <c r="U27" s="177" t="s">
        <v>117</v>
      </c>
      <c r="V27" s="177" t="b">
        <v>0</v>
      </c>
      <c r="W27" s="177" t="s">
        <v>109</v>
      </c>
      <c r="X27" s="261"/>
      <c r="Y27" s="177" t="s">
        <v>109</v>
      </c>
      <c r="Z27" s="176">
        <v>2.9</v>
      </c>
      <c r="AA27" s="177" t="s">
        <v>304</v>
      </c>
      <c r="AB27" s="177" t="s">
        <v>109</v>
      </c>
      <c r="AC27" s="177">
        <v>4.0999999999999996</v>
      </c>
      <c r="AD27" s="177" t="s">
        <v>109</v>
      </c>
      <c r="AE27" s="177" t="s">
        <v>300</v>
      </c>
      <c r="AF27" s="177">
        <v>1</v>
      </c>
      <c r="AG27" s="177">
        <v>1145</v>
      </c>
      <c r="AH27" s="177" t="s">
        <v>121</v>
      </c>
      <c r="AI27" s="177" t="b">
        <v>1</v>
      </c>
      <c r="AJ27" s="180">
        <v>43739</v>
      </c>
      <c r="AK27" s="177" t="s">
        <v>122</v>
      </c>
      <c r="AL27" s="177" t="s">
        <v>109</v>
      </c>
      <c r="AM27" s="177" t="s">
        <v>109</v>
      </c>
      <c r="AN27" s="177" t="b">
        <v>0</v>
      </c>
      <c r="AO27" s="177" t="s">
        <v>109</v>
      </c>
      <c r="AP27" s="177" t="s">
        <v>109</v>
      </c>
      <c r="AQ27" s="177" t="s">
        <v>118</v>
      </c>
      <c r="AR27" s="177" t="b">
        <v>0</v>
      </c>
      <c r="AS27" s="177" t="s">
        <v>123</v>
      </c>
      <c r="AT27" s="180" t="s">
        <v>123</v>
      </c>
      <c r="AU27" s="177" t="s">
        <v>124</v>
      </c>
      <c r="AV27" s="177" t="s">
        <v>109</v>
      </c>
      <c r="AW27" s="177" t="s">
        <v>109</v>
      </c>
      <c r="AX27" s="177" t="s">
        <v>109</v>
      </c>
      <c r="AY27" s="177" t="s">
        <v>135</v>
      </c>
      <c r="AZ27" s="177" t="s">
        <v>109</v>
      </c>
      <c r="BA27" s="177" t="s">
        <v>125</v>
      </c>
      <c r="BB27" s="177" t="s">
        <v>109</v>
      </c>
      <c r="BC27" s="177" t="s">
        <v>126</v>
      </c>
      <c r="BD27" s="177" t="s">
        <v>109</v>
      </c>
      <c r="BE27" s="180" t="s">
        <v>305</v>
      </c>
      <c r="BF27" s="180" t="s">
        <v>152</v>
      </c>
      <c r="BG27" s="180" t="s">
        <v>306</v>
      </c>
      <c r="BH27" s="177" t="s">
        <v>109</v>
      </c>
      <c r="BI27" s="177" t="s">
        <v>109</v>
      </c>
      <c r="BJ27" s="177" t="b">
        <v>0</v>
      </c>
      <c r="BK27" s="233">
        <v>69.27</v>
      </c>
      <c r="BL27" s="234" t="s">
        <v>128</v>
      </c>
      <c r="BM27" s="233">
        <v>1746.32087</v>
      </c>
      <c r="BN27" s="233">
        <v>981.53076999999996</v>
      </c>
      <c r="BO27" s="233">
        <v>759.40033000000005</v>
      </c>
      <c r="BP27" s="233">
        <v>0</v>
      </c>
      <c r="BQ27" s="233">
        <v>0</v>
      </c>
      <c r="BR27" s="233">
        <v>0</v>
      </c>
      <c r="BS27" s="233">
        <v>0</v>
      </c>
      <c r="BT27" s="233">
        <v>0</v>
      </c>
      <c r="BU27" s="233">
        <v>0</v>
      </c>
      <c r="BV27" s="233">
        <v>0</v>
      </c>
      <c r="BW27" s="233">
        <v>0</v>
      </c>
      <c r="BX27" s="233">
        <v>0</v>
      </c>
      <c r="BY27" s="234">
        <v>0</v>
      </c>
      <c r="BZ27" s="236" t="s">
        <v>109</v>
      </c>
      <c r="CA27" s="236" t="s">
        <v>109</v>
      </c>
      <c r="CB27" s="236">
        <v>2021</v>
      </c>
      <c r="CC27" s="233">
        <v>0</v>
      </c>
      <c r="CD27" s="233">
        <v>1746.32087</v>
      </c>
      <c r="CE27" s="233">
        <v>0</v>
      </c>
      <c r="CF27" s="233">
        <v>0</v>
      </c>
      <c r="CG27" s="233">
        <v>0</v>
      </c>
      <c r="CH27" s="233">
        <v>0</v>
      </c>
      <c r="CI27" s="233">
        <v>0</v>
      </c>
      <c r="CJ27" s="237">
        <v>0</v>
      </c>
      <c r="CK27" s="177" t="s">
        <v>128</v>
      </c>
      <c r="CL27" s="177" t="s">
        <v>128</v>
      </c>
      <c r="CM27" s="155" t="s">
        <v>109</v>
      </c>
      <c r="CN27" s="229">
        <v>0.13550000000000001</v>
      </c>
      <c r="CO27" s="229">
        <v>0.86450000000000005</v>
      </c>
      <c r="CP27" s="138" t="s">
        <v>307</v>
      </c>
      <c r="CR27" s="248"/>
    </row>
    <row r="28" spans="1:96" ht="14.4" x14ac:dyDescent="0.3">
      <c r="A28">
        <v>25</v>
      </c>
      <c r="B28" s="173" t="s">
        <v>308</v>
      </c>
      <c r="C28" s="259"/>
      <c r="D28" s="260"/>
      <c r="E28" t="s">
        <v>191</v>
      </c>
      <c r="F28" t="s">
        <v>309</v>
      </c>
      <c r="G28" s="177" t="s">
        <v>166</v>
      </c>
      <c r="H28" s="177" t="s">
        <v>112</v>
      </c>
      <c r="I28" s="177" t="s">
        <v>112</v>
      </c>
      <c r="J28" s="177" t="s">
        <v>109</v>
      </c>
      <c r="K28" s="177" t="s">
        <v>114</v>
      </c>
      <c r="L28" s="177" t="s">
        <v>115</v>
      </c>
      <c r="M28" s="177" t="s">
        <v>109</v>
      </c>
      <c r="N28" s="177" t="s">
        <v>109</v>
      </c>
      <c r="O28" s="180">
        <v>45735</v>
      </c>
      <c r="P28" s="177" t="s">
        <v>147</v>
      </c>
      <c r="Q28" s="177" t="s">
        <v>109</v>
      </c>
      <c r="R28" s="177" t="s">
        <v>109</v>
      </c>
      <c r="S28" s="177" t="s">
        <v>109</v>
      </c>
      <c r="T28" s="177" t="s">
        <v>310</v>
      </c>
      <c r="U28" s="177" t="s">
        <v>117</v>
      </c>
      <c r="V28" s="177" t="b">
        <v>0</v>
      </c>
      <c r="W28" s="177" t="s">
        <v>109</v>
      </c>
      <c r="X28" s="261"/>
      <c r="Y28" s="177" t="s">
        <v>109</v>
      </c>
      <c r="Z28" s="176">
        <v>0.15</v>
      </c>
      <c r="AA28" s="177">
        <v>69</v>
      </c>
      <c r="AB28" s="177" t="s">
        <v>148</v>
      </c>
      <c r="AC28" s="177">
        <v>4.0999999999999996</v>
      </c>
      <c r="AD28" s="177" t="s">
        <v>311</v>
      </c>
      <c r="AE28" s="177" t="s">
        <v>300</v>
      </c>
      <c r="AF28" s="177">
        <v>1</v>
      </c>
      <c r="AG28" s="177">
        <v>1145</v>
      </c>
      <c r="AH28" s="177" t="s">
        <v>121</v>
      </c>
      <c r="AI28" s="177" t="b">
        <v>1</v>
      </c>
      <c r="AJ28" s="180" t="s">
        <v>312</v>
      </c>
      <c r="AK28" s="177" t="s">
        <v>122</v>
      </c>
      <c r="AL28" s="177" t="s">
        <v>109</v>
      </c>
      <c r="AM28" s="177" t="s">
        <v>109</v>
      </c>
      <c r="AN28" s="177" t="b">
        <v>0</v>
      </c>
      <c r="AO28" s="177" t="s">
        <v>109</v>
      </c>
      <c r="AP28" s="177" t="s">
        <v>109</v>
      </c>
      <c r="AQ28" s="177" t="s">
        <v>118</v>
      </c>
      <c r="AR28" s="177" t="b">
        <v>0</v>
      </c>
      <c r="AS28" s="177" t="s">
        <v>123</v>
      </c>
      <c r="AT28" s="180" t="s">
        <v>123</v>
      </c>
      <c r="AU28" s="177" t="s">
        <v>124</v>
      </c>
      <c r="AV28" s="177" t="s">
        <v>109</v>
      </c>
      <c r="AW28" s="177" t="s">
        <v>109</v>
      </c>
      <c r="AX28" s="177" t="s">
        <v>109</v>
      </c>
      <c r="AY28" s="177" t="s">
        <v>135</v>
      </c>
      <c r="AZ28" s="177" t="s">
        <v>109</v>
      </c>
      <c r="BA28" s="177" t="s">
        <v>125</v>
      </c>
      <c r="BB28" s="177" t="s">
        <v>109</v>
      </c>
      <c r="BC28" s="177" t="s">
        <v>126</v>
      </c>
      <c r="BD28" s="177" t="s">
        <v>109</v>
      </c>
      <c r="BE28" s="180" t="s">
        <v>313</v>
      </c>
      <c r="BF28" s="180" t="s">
        <v>314</v>
      </c>
      <c r="BG28" s="180" t="s">
        <v>315</v>
      </c>
      <c r="BH28" s="177" t="s">
        <v>109</v>
      </c>
      <c r="BI28" s="177" t="s">
        <v>109</v>
      </c>
      <c r="BJ28" s="177" t="b">
        <v>1</v>
      </c>
      <c r="BK28" s="233">
        <v>1165.5239999999999</v>
      </c>
      <c r="BL28" s="234" t="s">
        <v>128</v>
      </c>
      <c r="BM28" s="233">
        <v>2025.944080044</v>
      </c>
      <c r="BN28" s="233">
        <v>1585.3071361</v>
      </c>
      <c r="BO28" s="233">
        <v>280.84011820000001</v>
      </c>
      <c r="BP28" s="233">
        <v>72.345017499999997</v>
      </c>
      <c r="BQ28" s="233">
        <v>0</v>
      </c>
      <c r="BR28" s="233">
        <v>0.99677000000000004</v>
      </c>
      <c r="BS28" s="233">
        <v>0.12232</v>
      </c>
      <c r="BT28" s="233">
        <v>0</v>
      </c>
      <c r="BU28" s="233">
        <v>0</v>
      </c>
      <c r="BV28" s="233">
        <v>0</v>
      </c>
      <c r="BW28" s="233">
        <v>0</v>
      </c>
      <c r="BX28" s="233">
        <v>0</v>
      </c>
      <c r="BY28" s="234">
        <v>0</v>
      </c>
      <c r="BZ28" s="236" t="s">
        <v>109</v>
      </c>
      <c r="CA28" s="236" t="s">
        <v>109</v>
      </c>
      <c r="CB28" s="236" t="s">
        <v>316</v>
      </c>
      <c r="CC28" s="233">
        <v>0</v>
      </c>
      <c r="CD28" s="233">
        <v>0</v>
      </c>
      <c r="CE28" s="233">
        <v>2024.8249900000001</v>
      </c>
      <c r="CF28" s="233">
        <v>0</v>
      </c>
      <c r="CG28" s="233">
        <v>0.99677000000000004</v>
      </c>
      <c r="CH28" s="233">
        <v>0.12232</v>
      </c>
      <c r="CI28" s="233">
        <v>0</v>
      </c>
      <c r="CJ28" s="237">
        <v>0</v>
      </c>
      <c r="CK28" s="177" t="s">
        <v>128</v>
      </c>
      <c r="CL28" s="177" t="s">
        <v>128</v>
      </c>
      <c r="CM28" s="155" t="s">
        <v>109</v>
      </c>
      <c r="CN28" s="229">
        <v>0</v>
      </c>
      <c r="CO28" s="229">
        <v>1</v>
      </c>
      <c r="CP28" t="s">
        <v>155</v>
      </c>
      <c r="CR28" s="248"/>
    </row>
    <row r="29" spans="1:96" ht="14.4" x14ac:dyDescent="0.3">
      <c r="A29">
        <v>26</v>
      </c>
      <c r="B29" s="173" t="s">
        <v>317</v>
      </c>
      <c r="C29" s="259"/>
      <c r="D29" s="260"/>
      <c r="E29" t="s">
        <v>318</v>
      </c>
      <c r="F29" t="s">
        <v>319</v>
      </c>
      <c r="G29" s="177" t="s">
        <v>166</v>
      </c>
      <c r="H29" s="177" t="s">
        <v>146</v>
      </c>
      <c r="I29" s="177" t="s">
        <v>113</v>
      </c>
      <c r="J29" s="177" t="s">
        <v>109</v>
      </c>
      <c r="K29" s="177" t="s">
        <v>234</v>
      </c>
      <c r="L29" s="177" t="s">
        <v>115</v>
      </c>
      <c r="M29" s="177" t="s">
        <v>109</v>
      </c>
      <c r="N29" s="177" t="s">
        <v>109</v>
      </c>
      <c r="O29" s="180">
        <v>45717</v>
      </c>
      <c r="P29" s="177" t="s">
        <v>320</v>
      </c>
      <c r="Q29" s="177" t="s">
        <v>109</v>
      </c>
      <c r="R29" s="177" t="s">
        <v>109</v>
      </c>
      <c r="S29" s="177" t="s">
        <v>109</v>
      </c>
      <c r="T29" s="177" t="s">
        <v>116</v>
      </c>
      <c r="U29" s="177" t="s">
        <v>117</v>
      </c>
      <c r="V29" s="177" t="b">
        <v>0</v>
      </c>
      <c r="W29" s="177" t="s">
        <v>109</v>
      </c>
      <c r="X29" s="261"/>
      <c r="Y29" s="177" t="s">
        <v>109</v>
      </c>
      <c r="Z29" s="176">
        <v>72.12</v>
      </c>
      <c r="AA29" s="177">
        <v>230</v>
      </c>
      <c r="AB29" s="177" t="s">
        <v>109</v>
      </c>
      <c r="AC29" s="177">
        <v>4.0999999999999996</v>
      </c>
      <c r="AD29" s="177" t="s">
        <v>321</v>
      </c>
      <c r="AE29" s="177" t="s">
        <v>300</v>
      </c>
      <c r="AF29" s="177">
        <v>1</v>
      </c>
      <c r="AG29" s="177">
        <v>1145</v>
      </c>
      <c r="AH29" s="177" t="s">
        <v>121</v>
      </c>
      <c r="AI29" s="177" t="b">
        <v>1</v>
      </c>
      <c r="AJ29" s="180">
        <v>43623</v>
      </c>
      <c r="AK29" s="177" t="s">
        <v>122</v>
      </c>
      <c r="AL29" s="177" t="s">
        <v>109</v>
      </c>
      <c r="AM29" s="177" t="s">
        <v>109</v>
      </c>
      <c r="AN29" s="177" t="b">
        <v>0</v>
      </c>
      <c r="AO29" s="177" t="s">
        <v>109</v>
      </c>
      <c r="AP29" s="177" t="s">
        <v>109</v>
      </c>
      <c r="AQ29" s="177" t="s">
        <v>118</v>
      </c>
      <c r="AR29" s="177" t="b">
        <v>0</v>
      </c>
      <c r="AS29" s="177" t="s">
        <v>123</v>
      </c>
      <c r="AT29" s="180" t="s">
        <v>123</v>
      </c>
      <c r="AU29" s="177" t="s">
        <v>124</v>
      </c>
      <c r="AV29" s="177" t="s">
        <v>109</v>
      </c>
      <c r="AW29" s="177" t="s">
        <v>109</v>
      </c>
      <c r="AX29" s="177" t="s">
        <v>109</v>
      </c>
      <c r="AY29" s="177" t="s">
        <v>135</v>
      </c>
      <c r="AZ29" s="177" t="s">
        <v>109</v>
      </c>
      <c r="BA29" s="177" t="s">
        <v>125</v>
      </c>
      <c r="BB29" s="177" t="s">
        <v>109</v>
      </c>
      <c r="BC29" s="177" t="s">
        <v>322</v>
      </c>
      <c r="BD29" s="177" t="s">
        <v>109</v>
      </c>
      <c r="BE29" s="180" t="s">
        <v>323</v>
      </c>
      <c r="BF29" s="180" t="s">
        <v>324</v>
      </c>
      <c r="BG29" s="180" t="s">
        <v>325</v>
      </c>
      <c r="BH29" s="177" t="s">
        <v>326</v>
      </c>
      <c r="BI29" s="177" t="s">
        <v>327</v>
      </c>
      <c r="BJ29" s="177" t="b">
        <v>1</v>
      </c>
      <c r="BK29" s="233">
        <v>95.52</v>
      </c>
      <c r="BL29" s="234" t="s">
        <v>128</v>
      </c>
      <c r="BM29" s="233">
        <v>6909.0588953737197</v>
      </c>
      <c r="BN29" s="233">
        <v>559.05976120000003</v>
      </c>
      <c r="BO29" s="233">
        <v>750.57181179999998</v>
      </c>
      <c r="BP29" s="233">
        <v>1271.3792659999999</v>
      </c>
      <c r="BQ29" s="233">
        <v>2355.3583450000001</v>
      </c>
      <c r="BR29" s="233">
        <v>1372.253608</v>
      </c>
      <c r="BS29" s="233">
        <v>370.66582599999998</v>
      </c>
      <c r="BT29" s="233">
        <v>229.22244739999999</v>
      </c>
      <c r="BU29" s="233">
        <v>0</v>
      </c>
      <c r="BV29" s="233">
        <v>0</v>
      </c>
      <c r="BW29" s="233">
        <v>0</v>
      </c>
      <c r="BX29" s="233">
        <v>0</v>
      </c>
      <c r="BY29" s="234">
        <v>6679</v>
      </c>
      <c r="BZ29" s="236" t="s">
        <v>109</v>
      </c>
      <c r="CA29" s="236" t="s">
        <v>109</v>
      </c>
      <c r="CB29" s="236">
        <v>2025</v>
      </c>
      <c r="CC29" s="233">
        <v>0</v>
      </c>
      <c r="CD29" s="233">
        <v>0</v>
      </c>
      <c r="CE29" s="233">
        <v>0</v>
      </c>
      <c r="CF29" s="233">
        <v>0</v>
      </c>
      <c r="CG29" s="233">
        <v>0</v>
      </c>
      <c r="CH29" s="233">
        <v>0</v>
      </c>
      <c r="CI29" s="233">
        <v>6909.0588954000004</v>
      </c>
      <c r="CJ29" s="237">
        <v>0</v>
      </c>
      <c r="CK29" s="177" t="s">
        <v>128</v>
      </c>
      <c r="CL29" s="177" t="s">
        <v>128</v>
      </c>
      <c r="CM29" s="155" t="s">
        <v>109</v>
      </c>
      <c r="CN29" s="229">
        <v>1</v>
      </c>
      <c r="CO29" s="229">
        <v>0</v>
      </c>
      <c r="CP29" t="s">
        <v>155</v>
      </c>
      <c r="CR29" s="248"/>
    </row>
    <row r="30" spans="1:96" ht="43.2" x14ac:dyDescent="0.3">
      <c r="A30">
        <v>27</v>
      </c>
      <c r="B30" s="173" t="s">
        <v>328</v>
      </c>
      <c r="C30" s="259"/>
      <c r="D30" s="260"/>
      <c r="E30" t="s">
        <v>329</v>
      </c>
      <c r="F30" t="s">
        <v>330</v>
      </c>
      <c r="G30" s="177" t="s">
        <v>331</v>
      </c>
      <c r="H30" s="177" t="s">
        <v>146</v>
      </c>
      <c r="I30" s="177" t="s">
        <v>113</v>
      </c>
      <c r="J30" s="177" t="s">
        <v>109</v>
      </c>
      <c r="K30" s="177" t="s">
        <v>114</v>
      </c>
      <c r="L30" s="177" t="s">
        <v>115</v>
      </c>
      <c r="M30" s="177" t="s">
        <v>109</v>
      </c>
      <c r="N30" s="177" t="s">
        <v>109</v>
      </c>
      <c r="O30" s="180">
        <v>45794</v>
      </c>
      <c r="P30" s="177" t="s">
        <v>109</v>
      </c>
      <c r="Q30" s="177" t="s">
        <v>109</v>
      </c>
      <c r="R30" s="177" t="s">
        <v>109</v>
      </c>
      <c r="S30" s="177" t="s">
        <v>109</v>
      </c>
      <c r="T30" s="177" t="s">
        <v>116</v>
      </c>
      <c r="U30" s="177" t="s">
        <v>117</v>
      </c>
      <c r="V30" s="177" t="b">
        <v>0</v>
      </c>
      <c r="W30" s="177" t="s">
        <v>109</v>
      </c>
      <c r="X30" s="261"/>
      <c r="Y30" s="177" t="s">
        <v>109</v>
      </c>
      <c r="Z30" s="176">
        <v>13.94</v>
      </c>
      <c r="AA30" s="177">
        <v>230</v>
      </c>
      <c r="AB30" s="177" t="s">
        <v>180</v>
      </c>
      <c r="AC30" s="177">
        <v>4.0999999999999996</v>
      </c>
      <c r="AD30" s="177" t="s">
        <v>332</v>
      </c>
      <c r="AE30" s="177" t="s">
        <v>300</v>
      </c>
      <c r="AF30" s="177">
        <v>1</v>
      </c>
      <c r="AG30" s="177">
        <v>1145</v>
      </c>
      <c r="AH30" s="177" t="s">
        <v>121</v>
      </c>
      <c r="AI30" s="177" t="b">
        <v>1</v>
      </c>
      <c r="AJ30" s="180">
        <v>43636</v>
      </c>
      <c r="AK30" s="177" t="s">
        <v>122</v>
      </c>
      <c r="AL30" s="177" t="s">
        <v>109</v>
      </c>
      <c r="AM30" s="177" t="s">
        <v>109</v>
      </c>
      <c r="AN30" s="177" t="b">
        <v>0</v>
      </c>
      <c r="AO30" s="177" t="s">
        <v>109</v>
      </c>
      <c r="AP30" s="177" t="s">
        <v>109</v>
      </c>
      <c r="AQ30" s="177" t="s">
        <v>118</v>
      </c>
      <c r="AR30" s="177" t="b">
        <v>0</v>
      </c>
      <c r="AS30" s="177" t="s">
        <v>123</v>
      </c>
      <c r="AT30" s="180" t="s">
        <v>123</v>
      </c>
      <c r="AU30" s="177" t="s">
        <v>124</v>
      </c>
      <c r="AV30" s="177" t="s">
        <v>109</v>
      </c>
      <c r="AW30" s="177" t="s">
        <v>109</v>
      </c>
      <c r="AX30" s="177" t="s">
        <v>109</v>
      </c>
      <c r="AY30" s="177" t="s">
        <v>135</v>
      </c>
      <c r="AZ30" s="177" t="s">
        <v>109</v>
      </c>
      <c r="BA30" s="177" t="s">
        <v>125</v>
      </c>
      <c r="BB30" s="177" t="s">
        <v>109</v>
      </c>
      <c r="BC30" s="177" t="s">
        <v>126</v>
      </c>
      <c r="BD30" s="177" t="s">
        <v>109</v>
      </c>
      <c r="BE30" s="180" t="s">
        <v>333</v>
      </c>
      <c r="BF30" s="180" t="s">
        <v>334</v>
      </c>
      <c r="BG30" s="180" t="s">
        <v>335</v>
      </c>
      <c r="BH30" s="177" t="s">
        <v>138</v>
      </c>
      <c r="BI30" s="177" t="s">
        <v>109</v>
      </c>
      <c r="BJ30" s="177" t="b">
        <v>0</v>
      </c>
      <c r="BK30" s="233">
        <v>2270.915</v>
      </c>
      <c r="BL30" s="234" t="s">
        <v>128</v>
      </c>
      <c r="BM30" s="233">
        <v>2597.48324</v>
      </c>
      <c r="BN30" s="233">
        <v>1200.2864199999999</v>
      </c>
      <c r="BO30" s="233">
        <v>1102.6513399999999</v>
      </c>
      <c r="BP30" s="233">
        <v>3.37967</v>
      </c>
      <c r="BQ30" s="233">
        <v>0</v>
      </c>
      <c r="BR30" s="233">
        <v>0</v>
      </c>
      <c r="BS30" s="233">
        <v>0</v>
      </c>
      <c r="BT30" s="233">
        <v>0</v>
      </c>
      <c r="BU30" s="233">
        <v>0</v>
      </c>
      <c r="BV30" s="233">
        <v>0</v>
      </c>
      <c r="BW30" s="233">
        <v>0</v>
      </c>
      <c r="BX30" s="233">
        <v>0</v>
      </c>
      <c r="BY30" s="234">
        <v>0</v>
      </c>
      <c r="BZ30" s="236" t="s">
        <v>109</v>
      </c>
      <c r="CA30" s="236" t="s">
        <v>109</v>
      </c>
      <c r="CB30" s="236" t="s">
        <v>336</v>
      </c>
      <c r="CC30" s="233">
        <v>0</v>
      </c>
      <c r="CD30" s="233">
        <v>2594.1035700000002</v>
      </c>
      <c r="CE30" s="233">
        <v>3.37967</v>
      </c>
      <c r="CF30" s="233">
        <v>0</v>
      </c>
      <c r="CG30" s="233">
        <v>0</v>
      </c>
      <c r="CH30" s="233">
        <v>0</v>
      </c>
      <c r="CI30" s="233">
        <v>0</v>
      </c>
      <c r="CJ30" s="237">
        <v>0</v>
      </c>
      <c r="CK30" s="177" t="s">
        <v>128</v>
      </c>
      <c r="CL30" s="177" t="s">
        <v>128</v>
      </c>
      <c r="CM30" s="155" t="s">
        <v>109</v>
      </c>
      <c r="CN30" s="229">
        <v>1</v>
      </c>
      <c r="CO30" s="229">
        <v>0</v>
      </c>
      <c r="CP30" s="245" t="s">
        <v>337</v>
      </c>
      <c r="CR30" s="248"/>
    </row>
    <row r="31" spans="1:96" ht="14.4" x14ac:dyDescent="0.3">
      <c r="A31">
        <v>28</v>
      </c>
      <c r="B31" s="173" t="s">
        <v>338</v>
      </c>
      <c r="C31" s="259"/>
      <c r="D31" s="260"/>
      <c r="E31" t="s">
        <v>143</v>
      </c>
      <c r="F31" t="s">
        <v>340</v>
      </c>
      <c r="G31" s="177" t="s">
        <v>233</v>
      </c>
      <c r="H31" s="177" t="s">
        <v>275</v>
      </c>
      <c r="I31" s="177" t="s">
        <v>275</v>
      </c>
      <c r="J31" s="177" t="s">
        <v>109</v>
      </c>
      <c r="K31" s="177" t="s">
        <v>250</v>
      </c>
      <c r="L31" s="177" t="s">
        <v>341</v>
      </c>
      <c r="M31" s="177" t="s">
        <v>109</v>
      </c>
      <c r="N31" s="177" t="s">
        <v>109</v>
      </c>
      <c r="O31" s="180" t="s">
        <v>109</v>
      </c>
      <c r="P31" s="177" t="s">
        <v>109</v>
      </c>
      <c r="Q31" s="177" t="s">
        <v>109</v>
      </c>
      <c r="R31" s="177" t="s">
        <v>342</v>
      </c>
      <c r="S31" s="177" t="s">
        <v>109</v>
      </c>
      <c r="T31" s="177" t="s">
        <v>116</v>
      </c>
      <c r="U31" s="177" t="s">
        <v>117</v>
      </c>
      <c r="V31" s="177" t="b">
        <v>0</v>
      </c>
      <c r="W31" s="177" t="s">
        <v>109</v>
      </c>
      <c r="X31" s="261"/>
      <c r="Y31" s="177" t="s">
        <v>109</v>
      </c>
      <c r="Z31" s="177" t="s">
        <v>118</v>
      </c>
      <c r="AA31" s="177">
        <v>69</v>
      </c>
      <c r="AB31" s="177" t="s">
        <v>148</v>
      </c>
      <c r="AC31" s="177">
        <v>4.0999999999999996</v>
      </c>
      <c r="AD31" s="177" t="s">
        <v>109</v>
      </c>
      <c r="AE31" s="177" t="s">
        <v>300</v>
      </c>
      <c r="AF31" s="177">
        <v>1</v>
      </c>
      <c r="AG31" s="177">
        <v>1145</v>
      </c>
      <c r="AH31" s="177" t="s">
        <v>121</v>
      </c>
      <c r="AI31" s="177" t="b">
        <v>1</v>
      </c>
      <c r="AJ31" s="180">
        <v>43648</v>
      </c>
      <c r="AK31" s="177" t="s">
        <v>122</v>
      </c>
      <c r="AL31" s="177" t="s">
        <v>109</v>
      </c>
      <c r="AM31" s="177" t="s">
        <v>109</v>
      </c>
      <c r="AN31" s="177" t="b">
        <v>0</v>
      </c>
      <c r="AO31" s="177" t="s">
        <v>109</v>
      </c>
      <c r="AP31" s="177" t="s">
        <v>109</v>
      </c>
      <c r="AQ31" s="177" t="s">
        <v>118</v>
      </c>
      <c r="AR31" s="177" t="b">
        <v>0</v>
      </c>
      <c r="AS31" s="177" t="s">
        <v>123</v>
      </c>
      <c r="AT31" s="180" t="s">
        <v>123</v>
      </c>
      <c r="AU31" s="177" t="s">
        <v>124</v>
      </c>
      <c r="AV31" s="177" t="s">
        <v>109</v>
      </c>
      <c r="AW31" s="177" t="s">
        <v>109</v>
      </c>
      <c r="AX31" s="177" t="s">
        <v>109</v>
      </c>
      <c r="AY31" s="177" t="s">
        <v>135</v>
      </c>
      <c r="AZ31" s="177" t="s">
        <v>109</v>
      </c>
      <c r="BA31" s="177" t="s">
        <v>125</v>
      </c>
      <c r="BB31" s="177" t="s">
        <v>109</v>
      </c>
      <c r="BC31" s="177" t="s">
        <v>126</v>
      </c>
      <c r="BD31" s="177" t="s">
        <v>109</v>
      </c>
      <c r="BE31" s="180" t="s">
        <v>343</v>
      </c>
      <c r="BF31" s="180" t="s">
        <v>344</v>
      </c>
      <c r="BG31" s="180">
        <v>43860</v>
      </c>
      <c r="BH31" s="177" t="s">
        <v>109</v>
      </c>
      <c r="BI31" s="177" t="s">
        <v>109</v>
      </c>
      <c r="BJ31" s="177" t="b">
        <v>0</v>
      </c>
      <c r="BK31" s="233">
        <v>1888.307</v>
      </c>
      <c r="BL31" s="234" t="s">
        <v>128</v>
      </c>
      <c r="BM31" s="233">
        <v>647.60389944999997</v>
      </c>
      <c r="BN31" s="233">
        <v>81.320804899999999</v>
      </c>
      <c r="BO31" s="233">
        <v>0</v>
      </c>
      <c r="BP31" s="233">
        <v>0</v>
      </c>
      <c r="BQ31" s="233">
        <v>0</v>
      </c>
      <c r="BR31" s="233">
        <v>0</v>
      </c>
      <c r="BS31" s="233">
        <v>0</v>
      </c>
      <c r="BT31" s="233">
        <v>0</v>
      </c>
      <c r="BU31" s="233">
        <v>0</v>
      </c>
      <c r="BV31" s="233">
        <v>0</v>
      </c>
      <c r="BW31" s="233">
        <v>0</v>
      </c>
      <c r="BX31" s="233">
        <v>0</v>
      </c>
      <c r="BY31" s="234">
        <v>0</v>
      </c>
      <c r="BZ31" s="236" t="s">
        <v>109</v>
      </c>
      <c r="CA31" s="236" t="s">
        <v>109</v>
      </c>
      <c r="CB31" s="236">
        <v>2020</v>
      </c>
      <c r="CC31" s="233">
        <v>647.60389940000005</v>
      </c>
      <c r="CD31" s="233">
        <v>0</v>
      </c>
      <c r="CE31" s="233">
        <v>0</v>
      </c>
      <c r="CF31" s="233">
        <v>0</v>
      </c>
      <c r="CG31" s="233">
        <v>0</v>
      </c>
      <c r="CH31" s="233">
        <v>0</v>
      </c>
      <c r="CI31" s="233">
        <v>0</v>
      </c>
      <c r="CJ31" s="237">
        <v>0</v>
      </c>
      <c r="CK31" s="177" t="s">
        <v>128</v>
      </c>
      <c r="CL31" s="177" t="s">
        <v>128</v>
      </c>
      <c r="CM31" s="155" t="s">
        <v>109</v>
      </c>
      <c r="CN31" s="229">
        <v>0</v>
      </c>
      <c r="CO31" s="229">
        <v>1</v>
      </c>
      <c r="CP31" t="s">
        <v>345</v>
      </c>
      <c r="CR31" s="248"/>
    </row>
    <row r="32" spans="1:96" ht="14.4" x14ac:dyDescent="0.3">
      <c r="A32">
        <v>29</v>
      </c>
      <c r="B32" s="173" t="s">
        <v>346</v>
      </c>
      <c r="C32" s="259"/>
      <c r="D32" s="260"/>
      <c r="E32" t="s">
        <v>329</v>
      </c>
      <c r="F32" t="s">
        <v>347</v>
      </c>
      <c r="G32" s="177" t="s">
        <v>348</v>
      </c>
      <c r="H32" s="177" t="s">
        <v>146</v>
      </c>
      <c r="I32" s="177" t="s">
        <v>146</v>
      </c>
      <c r="J32" s="177" t="s">
        <v>109</v>
      </c>
      <c r="K32" s="177" t="s">
        <v>250</v>
      </c>
      <c r="L32" s="177" t="s">
        <v>251</v>
      </c>
      <c r="M32" s="177" t="s">
        <v>109</v>
      </c>
      <c r="N32" s="177" t="s">
        <v>109</v>
      </c>
      <c r="O32" s="180">
        <v>45785</v>
      </c>
      <c r="P32" s="177" t="s">
        <v>109</v>
      </c>
      <c r="Q32" s="177" t="s">
        <v>109</v>
      </c>
      <c r="R32" s="177" t="s">
        <v>109</v>
      </c>
      <c r="S32" s="177" t="s">
        <v>109</v>
      </c>
      <c r="T32" s="177" t="s">
        <v>116</v>
      </c>
      <c r="U32" s="177" t="s">
        <v>117</v>
      </c>
      <c r="V32" s="177" t="b">
        <v>0</v>
      </c>
      <c r="W32" s="177" t="s">
        <v>109</v>
      </c>
      <c r="X32" s="261"/>
      <c r="Y32" s="177" t="s">
        <v>109</v>
      </c>
      <c r="Z32" s="176">
        <v>1.1000000000000001</v>
      </c>
      <c r="AA32" s="177">
        <v>69</v>
      </c>
      <c r="AB32" s="177" t="s">
        <v>148</v>
      </c>
      <c r="AC32" s="177">
        <v>4.0999999999999996</v>
      </c>
      <c r="AD32" s="177" t="s">
        <v>349</v>
      </c>
      <c r="AE32" s="177" t="s">
        <v>300</v>
      </c>
      <c r="AF32" s="177">
        <v>1</v>
      </c>
      <c r="AG32" s="177">
        <v>1145</v>
      </c>
      <c r="AH32" s="177" t="s">
        <v>121</v>
      </c>
      <c r="AI32" s="177" t="b">
        <v>1</v>
      </c>
      <c r="AJ32" s="180">
        <v>44036</v>
      </c>
      <c r="AK32" s="177" t="s">
        <v>122</v>
      </c>
      <c r="AL32" s="177" t="s">
        <v>109</v>
      </c>
      <c r="AM32" s="177" t="s">
        <v>109</v>
      </c>
      <c r="AN32" s="177" t="b">
        <v>0</v>
      </c>
      <c r="AO32" s="177" t="s">
        <v>109</v>
      </c>
      <c r="AP32" s="177" t="s">
        <v>109</v>
      </c>
      <c r="AQ32" s="177" t="s">
        <v>118</v>
      </c>
      <c r="AR32" s="177" t="b">
        <v>0</v>
      </c>
      <c r="AS32" s="177" t="s">
        <v>123</v>
      </c>
      <c r="AT32" s="180" t="s">
        <v>123</v>
      </c>
      <c r="AU32" s="177" t="s">
        <v>124</v>
      </c>
      <c r="AV32" s="177" t="s">
        <v>109</v>
      </c>
      <c r="AW32" s="177" t="s">
        <v>109</v>
      </c>
      <c r="AX32" s="177" t="s">
        <v>109</v>
      </c>
      <c r="AY32" s="177" t="s">
        <v>135</v>
      </c>
      <c r="AZ32" s="177" t="s">
        <v>109</v>
      </c>
      <c r="BA32" s="177" t="s">
        <v>125</v>
      </c>
      <c r="BB32" s="177" t="s">
        <v>109</v>
      </c>
      <c r="BC32" s="177" t="s">
        <v>126</v>
      </c>
      <c r="BD32" s="177" t="s">
        <v>109</v>
      </c>
      <c r="BE32" s="180" t="s">
        <v>350</v>
      </c>
      <c r="BF32" s="180" t="s">
        <v>152</v>
      </c>
      <c r="BG32" s="180" t="s">
        <v>351</v>
      </c>
      <c r="BH32" s="177" t="s">
        <v>109</v>
      </c>
      <c r="BI32" s="177" t="s">
        <v>109</v>
      </c>
      <c r="BJ32" s="177" t="b">
        <v>0</v>
      </c>
      <c r="BK32" s="233">
        <v>189.161</v>
      </c>
      <c r="BL32" s="234" t="s">
        <v>128</v>
      </c>
      <c r="BM32" s="233">
        <v>1783.4935499999999</v>
      </c>
      <c r="BN32" s="233">
        <v>3.3036500000000002</v>
      </c>
      <c r="BO32" s="233">
        <v>323.59224999999998</v>
      </c>
      <c r="BP32" s="233">
        <v>1079.9820299999999</v>
      </c>
      <c r="BQ32" s="233">
        <v>376.54367999999999</v>
      </c>
      <c r="BR32" s="233">
        <v>7.1940000000000004E-2</v>
      </c>
      <c r="BS32" s="233">
        <v>0</v>
      </c>
      <c r="BT32" s="233">
        <v>0</v>
      </c>
      <c r="BU32" s="233">
        <v>0</v>
      </c>
      <c r="BV32" s="233">
        <v>0</v>
      </c>
      <c r="BW32" s="233">
        <v>0</v>
      </c>
      <c r="BX32" s="233">
        <v>0</v>
      </c>
      <c r="BY32" s="234">
        <v>0</v>
      </c>
      <c r="BZ32" s="236" t="s">
        <v>109</v>
      </c>
      <c r="CA32" s="236" t="s">
        <v>109</v>
      </c>
      <c r="CB32" s="236" t="s">
        <v>174</v>
      </c>
      <c r="CC32" s="233">
        <v>0</v>
      </c>
      <c r="CD32" s="233">
        <v>0</v>
      </c>
      <c r="CE32" s="233">
        <v>0</v>
      </c>
      <c r="CF32" s="233">
        <v>1783.4216100000001</v>
      </c>
      <c r="CG32" s="233">
        <v>7.1940000000000004E-2</v>
      </c>
      <c r="CH32" s="233">
        <v>0</v>
      </c>
      <c r="CI32" s="233">
        <v>0</v>
      </c>
      <c r="CJ32" s="237">
        <v>0</v>
      </c>
      <c r="CK32" s="177" t="s">
        <v>128</v>
      </c>
      <c r="CL32" s="177" t="s">
        <v>128</v>
      </c>
      <c r="CM32" s="155" t="s">
        <v>109</v>
      </c>
      <c r="CN32" s="229">
        <v>0</v>
      </c>
      <c r="CO32" s="229">
        <v>1</v>
      </c>
      <c r="CR32" s="248"/>
    </row>
    <row r="33" spans="1:96" ht="28.8" x14ac:dyDescent="0.3">
      <c r="A33">
        <v>30</v>
      </c>
      <c r="B33" s="173" t="s">
        <v>352</v>
      </c>
      <c r="C33" s="259"/>
      <c r="D33" s="260"/>
      <c r="E33" t="s">
        <v>353</v>
      </c>
      <c r="F33" t="s">
        <v>354</v>
      </c>
      <c r="G33" s="177" t="s">
        <v>355</v>
      </c>
      <c r="H33" s="177" t="s">
        <v>109</v>
      </c>
      <c r="I33" s="177" t="s">
        <v>109</v>
      </c>
      <c r="J33" s="177" t="s">
        <v>109</v>
      </c>
      <c r="K33" s="177" t="s">
        <v>356</v>
      </c>
      <c r="L33" s="177" t="s">
        <v>357</v>
      </c>
      <c r="M33" s="177" t="s">
        <v>109</v>
      </c>
      <c r="N33" s="177" t="s">
        <v>109</v>
      </c>
      <c r="O33" s="180">
        <v>45754</v>
      </c>
      <c r="P33" s="177" t="s">
        <v>109</v>
      </c>
      <c r="Q33" s="177" t="s">
        <v>109</v>
      </c>
      <c r="R33" s="177" t="s">
        <v>109</v>
      </c>
      <c r="S33" s="177" t="s">
        <v>109</v>
      </c>
      <c r="T33" s="177" t="s">
        <v>116</v>
      </c>
      <c r="U33" s="177" t="s">
        <v>117</v>
      </c>
      <c r="V33" s="177" t="b">
        <v>0</v>
      </c>
      <c r="W33" s="177" t="s">
        <v>109</v>
      </c>
      <c r="X33" s="261"/>
      <c r="Y33" s="177" t="s">
        <v>109</v>
      </c>
      <c r="Z33" s="176">
        <v>1.1299999999999999</v>
      </c>
      <c r="AA33" s="177">
        <v>69</v>
      </c>
      <c r="AB33" s="177" t="s">
        <v>148</v>
      </c>
      <c r="AC33" s="177">
        <v>4.0999999999999996</v>
      </c>
      <c r="AD33" s="177" t="s">
        <v>358</v>
      </c>
      <c r="AE33" s="177" t="s">
        <v>300</v>
      </c>
      <c r="AF33" s="177">
        <v>1</v>
      </c>
      <c r="AG33" s="177">
        <v>1145</v>
      </c>
      <c r="AH33" s="177" t="s">
        <v>121</v>
      </c>
      <c r="AI33" s="177" t="b">
        <v>1</v>
      </c>
      <c r="AJ33" s="180">
        <v>42849</v>
      </c>
      <c r="AK33" s="177" t="s">
        <v>122</v>
      </c>
      <c r="AL33" s="177" t="s">
        <v>109</v>
      </c>
      <c r="AM33" s="177" t="s">
        <v>109</v>
      </c>
      <c r="AN33" s="177" t="b">
        <v>0</v>
      </c>
      <c r="AO33" s="177" t="s">
        <v>109</v>
      </c>
      <c r="AP33" s="177" t="s">
        <v>109</v>
      </c>
      <c r="AQ33" s="177" t="s">
        <v>118</v>
      </c>
      <c r="AR33" s="177" t="b">
        <v>0</v>
      </c>
      <c r="AS33" s="177" t="s">
        <v>123</v>
      </c>
      <c r="AT33" s="180" t="s">
        <v>123</v>
      </c>
      <c r="AU33" s="177" t="s">
        <v>124</v>
      </c>
      <c r="AV33" s="177" t="s">
        <v>109</v>
      </c>
      <c r="AW33" s="177" t="s">
        <v>109</v>
      </c>
      <c r="AX33" s="177" t="s">
        <v>109</v>
      </c>
      <c r="AY33" s="177" t="s">
        <v>135</v>
      </c>
      <c r="AZ33" s="177" t="s">
        <v>109</v>
      </c>
      <c r="BA33" s="177" t="s">
        <v>125</v>
      </c>
      <c r="BB33" s="177" t="s">
        <v>109</v>
      </c>
      <c r="BC33" s="177" t="s">
        <v>126</v>
      </c>
      <c r="BD33" s="177" t="s">
        <v>109</v>
      </c>
      <c r="BE33" s="180" t="s">
        <v>359</v>
      </c>
      <c r="BF33" s="180" t="s">
        <v>360</v>
      </c>
      <c r="BG33" s="180" t="s">
        <v>361</v>
      </c>
      <c r="BH33" s="177" t="s">
        <v>109</v>
      </c>
      <c r="BI33" s="177" t="s">
        <v>109</v>
      </c>
      <c r="BJ33" s="177" t="b">
        <v>0</v>
      </c>
      <c r="BK33" s="233">
        <v>2832.6909999999998</v>
      </c>
      <c r="BL33" s="234" t="s">
        <v>128</v>
      </c>
      <c r="BM33" s="233">
        <v>4692.7355660290004</v>
      </c>
      <c r="BN33" s="233">
        <v>-46.903033600000001</v>
      </c>
      <c r="BO33" s="233">
        <v>40.308010000000003</v>
      </c>
      <c r="BP33" s="233">
        <v>0</v>
      </c>
      <c r="BQ33" s="233">
        <v>0</v>
      </c>
      <c r="BR33" s="233">
        <v>0</v>
      </c>
      <c r="BS33" s="233">
        <v>0</v>
      </c>
      <c r="BT33" s="233">
        <v>0</v>
      </c>
      <c r="BU33" s="233">
        <v>0</v>
      </c>
      <c r="BV33" s="233">
        <v>0</v>
      </c>
      <c r="BW33" s="233">
        <v>0</v>
      </c>
      <c r="BX33" s="233">
        <v>0</v>
      </c>
      <c r="BY33" s="234">
        <v>0</v>
      </c>
      <c r="BZ33" s="236" t="s">
        <v>109</v>
      </c>
      <c r="CA33" s="236" t="s">
        <v>109</v>
      </c>
      <c r="CB33" s="236" t="s">
        <v>189</v>
      </c>
      <c r="CC33" s="233">
        <v>4652.4275559999996</v>
      </c>
      <c r="CD33" s="233">
        <v>40.308010000000003</v>
      </c>
      <c r="CE33" s="233">
        <v>0</v>
      </c>
      <c r="CF33" s="233">
        <v>0</v>
      </c>
      <c r="CG33" s="233">
        <v>0</v>
      </c>
      <c r="CH33" s="233">
        <v>0</v>
      </c>
      <c r="CI33" s="233">
        <v>0</v>
      </c>
      <c r="CJ33" s="237">
        <v>0</v>
      </c>
      <c r="CK33" s="177" t="s">
        <v>128</v>
      </c>
      <c r="CL33" s="177" t="s">
        <v>128</v>
      </c>
      <c r="CM33" s="155" t="s">
        <v>109</v>
      </c>
      <c r="CN33" s="229">
        <v>0</v>
      </c>
      <c r="CO33" s="229">
        <v>1</v>
      </c>
      <c r="CP33" s="138" t="s">
        <v>362</v>
      </c>
      <c r="CR33" s="248"/>
    </row>
    <row r="34" spans="1:96" ht="14.4" x14ac:dyDescent="0.3">
      <c r="A34">
        <v>31</v>
      </c>
      <c r="B34" s="173" t="s">
        <v>363</v>
      </c>
      <c r="C34" s="259"/>
      <c r="D34" s="260"/>
      <c r="E34" t="s">
        <v>329</v>
      </c>
      <c r="F34" t="s">
        <v>364</v>
      </c>
      <c r="G34" s="177" t="s">
        <v>111</v>
      </c>
      <c r="H34" s="177" t="s">
        <v>275</v>
      </c>
      <c r="I34" s="177" t="s">
        <v>112</v>
      </c>
      <c r="J34" s="177" t="s">
        <v>109</v>
      </c>
      <c r="K34" s="177" t="s">
        <v>114</v>
      </c>
      <c r="L34" s="177" t="s">
        <v>365</v>
      </c>
      <c r="M34" s="177" t="s">
        <v>109</v>
      </c>
      <c r="N34" s="177" t="s">
        <v>109</v>
      </c>
      <c r="O34" s="180">
        <v>45722</v>
      </c>
      <c r="P34" s="177" t="s">
        <v>109</v>
      </c>
      <c r="Q34" s="177" t="s">
        <v>109</v>
      </c>
      <c r="R34" s="177" t="s">
        <v>109</v>
      </c>
      <c r="S34" s="177" t="s">
        <v>109</v>
      </c>
      <c r="T34" s="177" t="s">
        <v>116</v>
      </c>
      <c r="U34" s="177" t="s">
        <v>117</v>
      </c>
      <c r="V34" s="177" t="b">
        <v>0</v>
      </c>
      <c r="W34" s="177" t="s">
        <v>109</v>
      </c>
      <c r="X34" s="261"/>
      <c r="Y34" s="177" t="s">
        <v>109</v>
      </c>
      <c r="Z34" s="176">
        <v>9</v>
      </c>
      <c r="AA34" s="177">
        <v>69</v>
      </c>
      <c r="AB34" s="177" t="s">
        <v>148</v>
      </c>
      <c r="AC34" s="177">
        <v>4.0999999999999996</v>
      </c>
      <c r="AD34" s="177" t="s">
        <v>366</v>
      </c>
      <c r="AE34" s="177" t="s">
        <v>300</v>
      </c>
      <c r="AF34" s="177">
        <v>1</v>
      </c>
      <c r="AG34" s="177">
        <v>1145</v>
      </c>
      <c r="AH34" s="177" t="s">
        <v>121</v>
      </c>
      <c r="AI34" s="177" t="b">
        <v>1</v>
      </c>
      <c r="AJ34" s="180">
        <v>42849</v>
      </c>
      <c r="AK34" s="177" t="s">
        <v>122</v>
      </c>
      <c r="AL34" s="177" t="s">
        <v>109</v>
      </c>
      <c r="AM34" s="177" t="s">
        <v>109</v>
      </c>
      <c r="AN34" s="177" t="b">
        <v>0</v>
      </c>
      <c r="AO34" s="177" t="s">
        <v>109</v>
      </c>
      <c r="AP34" s="177" t="s">
        <v>109</v>
      </c>
      <c r="AQ34" s="177" t="s">
        <v>118</v>
      </c>
      <c r="AR34" s="177" t="b">
        <v>0</v>
      </c>
      <c r="AS34" s="177" t="s">
        <v>123</v>
      </c>
      <c r="AT34" s="180" t="s">
        <v>123</v>
      </c>
      <c r="AU34" s="177" t="s">
        <v>124</v>
      </c>
      <c r="AV34" s="177" t="s">
        <v>109</v>
      </c>
      <c r="AW34" s="177" t="s">
        <v>109</v>
      </c>
      <c r="AX34" s="177" t="s">
        <v>109</v>
      </c>
      <c r="AY34" s="177" t="s">
        <v>135</v>
      </c>
      <c r="AZ34" s="177" t="s">
        <v>109</v>
      </c>
      <c r="BA34" s="177" t="s">
        <v>125</v>
      </c>
      <c r="BB34" s="177" t="s">
        <v>109</v>
      </c>
      <c r="BC34" s="177" t="s">
        <v>126</v>
      </c>
      <c r="BD34" s="177" t="s">
        <v>109</v>
      </c>
      <c r="BE34" s="180" t="s">
        <v>367</v>
      </c>
      <c r="BF34" s="180" t="s">
        <v>172</v>
      </c>
      <c r="BG34" s="180" t="s">
        <v>368</v>
      </c>
      <c r="BH34" s="177" t="s">
        <v>109</v>
      </c>
      <c r="BI34" s="177" t="s">
        <v>109</v>
      </c>
      <c r="BJ34" s="177" t="b">
        <v>0</v>
      </c>
      <c r="BK34" s="233">
        <v>2832.6909999999998</v>
      </c>
      <c r="BL34" s="234" t="s">
        <v>128</v>
      </c>
      <c r="BM34" s="233">
        <v>3532.7588691139999</v>
      </c>
      <c r="BN34" s="233">
        <v>690.45495930000004</v>
      </c>
      <c r="BO34" s="233">
        <v>191.427921</v>
      </c>
      <c r="BP34" s="233">
        <v>0</v>
      </c>
      <c r="BQ34" s="233">
        <v>0</v>
      </c>
      <c r="BR34" s="233">
        <v>0</v>
      </c>
      <c r="BS34" s="233">
        <v>0</v>
      </c>
      <c r="BT34" s="233">
        <v>0</v>
      </c>
      <c r="BU34" s="233">
        <v>0</v>
      </c>
      <c r="BV34" s="233">
        <v>0</v>
      </c>
      <c r="BW34" s="233">
        <v>0</v>
      </c>
      <c r="BX34" s="233">
        <v>0</v>
      </c>
      <c r="BY34" s="234">
        <v>0</v>
      </c>
      <c r="BZ34" s="236" t="s">
        <v>109</v>
      </c>
      <c r="CA34" s="236" t="s">
        <v>109</v>
      </c>
      <c r="CB34" s="236">
        <v>2021</v>
      </c>
      <c r="CC34" s="233">
        <v>0</v>
      </c>
      <c r="CD34" s="233">
        <v>3532.7588691000001</v>
      </c>
      <c r="CE34" s="233">
        <v>0</v>
      </c>
      <c r="CF34" s="233">
        <v>0</v>
      </c>
      <c r="CG34" s="233">
        <v>0</v>
      </c>
      <c r="CH34" s="233">
        <v>0</v>
      </c>
      <c r="CI34" s="233">
        <v>0</v>
      </c>
      <c r="CJ34" s="237">
        <v>0</v>
      </c>
      <c r="CK34" s="177" t="s">
        <v>128</v>
      </c>
      <c r="CL34" s="177" t="s">
        <v>128</v>
      </c>
      <c r="CM34" s="155" t="s">
        <v>109</v>
      </c>
      <c r="CN34" s="229">
        <v>0</v>
      </c>
      <c r="CO34" s="229">
        <v>1</v>
      </c>
      <c r="CR34" s="248"/>
    </row>
    <row r="35" spans="1:96" ht="14.4" x14ac:dyDescent="0.3">
      <c r="A35">
        <v>32</v>
      </c>
      <c r="B35" s="173" t="s">
        <v>369</v>
      </c>
      <c r="C35" s="259"/>
      <c r="D35" s="260"/>
      <c r="E35" t="s">
        <v>143</v>
      </c>
      <c r="F35" t="s">
        <v>371</v>
      </c>
      <c r="G35" s="177" t="s">
        <v>166</v>
      </c>
      <c r="H35" s="177" t="s">
        <v>146</v>
      </c>
      <c r="I35" s="177" t="s">
        <v>113</v>
      </c>
      <c r="J35" s="177" t="s">
        <v>109</v>
      </c>
      <c r="K35" s="177" t="s">
        <v>114</v>
      </c>
      <c r="L35" s="177" t="s">
        <v>115</v>
      </c>
      <c r="M35" s="177" t="s">
        <v>109</v>
      </c>
      <c r="N35" s="177" t="s">
        <v>109</v>
      </c>
      <c r="O35" s="180">
        <v>45785</v>
      </c>
      <c r="P35" s="177" t="s">
        <v>372</v>
      </c>
      <c r="Q35" s="177" t="s">
        <v>109</v>
      </c>
      <c r="R35" s="177" t="s">
        <v>109</v>
      </c>
      <c r="S35" s="177" t="s">
        <v>109</v>
      </c>
      <c r="T35" s="177" t="s">
        <v>116</v>
      </c>
      <c r="U35" s="177" t="s">
        <v>117</v>
      </c>
      <c r="V35" s="177" t="b">
        <v>0</v>
      </c>
      <c r="W35" s="177" t="s">
        <v>109</v>
      </c>
      <c r="X35" s="261"/>
      <c r="Y35" s="177" t="s">
        <v>109</v>
      </c>
      <c r="Z35" s="176">
        <v>0.76</v>
      </c>
      <c r="AA35" s="177">
        <v>69</v>
      </c>
      <c r="AB35" s="177" t="s">
        <v>373</v>
      </c>
      <c r="AC35" s="177">
        <v>4.0999999999999996</v>
      </c>
      <c r="AD35" s="177" t="s">
        <v>374</v>
      </c>
      <c r="AE35" s="177" t="s">
        <v>300</v>
      </c>
      <c r="AF35" s="177">
        <v>1</v>
      </c>
      <c r="AG35" s="177">
        <v>1145</v>
      </c>
      <c r="AH35" s="177" t="s">
        <v>121</v>
      </c>
      <c r="AI35" s="177" t="b">
        <v>1</v>
      </c>
      <c r="AJ35" s="180">
        <v>43081</v>
      </c>
      <c r="AK35" s="177" t="s">
        <v>122</v>
      </c>
      <c r="AL35" s="177" t="s">
        <v>109</v>
      </c>
      <c r="AM35" s="177" t="s">
        <v>109</v>
      </c>
      <c r="AN35" s="177" t="b">
        <v>0</v>
      </c>
      <c r="AO35" s="177" t="s">
        <v>109</v>
      </c>
      <c r="AP35" s="177" t="s">
        <v>109</v>
      </c>
      <c r="AQ35" s="177" t="s">
        <v>118</v>
      </c>
      <c r="AR35" s="177" t="b">
        <v>0</v>
      </c>
      <c r="AS35" s="177" t="s">
        <v>123</v>
      </c>
      <c r="AT35" s="180" t="s">
        <v>123</v>
      </c>
      <c r="AU35" s="177" t="s">
        <v>124</v>
      </c>
      <c r="AV35" s="177" t="s">
        <v>109</v>
      </c>
      <c r="AW35" s="177" t="s">
        <v>109</v>
      </c>
      <c r="AX35" s="177" t="s">
        <v>109</v>
      </c>
      <c r="AY35" s="177" t="s">
        <v>135</v>
      </c>
      <c r="AZ35" s="177" t="s">
        <v>109</v>
      </c>
      <c r="BA35" s="177" t="s">
        <v>125</v>
      </c>
      <c r="BB35" s="177" t="s">
        <v>109</v>
      </c>
      <c r="BC35" s="177" t="s">
        <v>126</v>
      </c>
      <c r="BD35" s="177" t="s">
        <v>109</v>
      </c>
      <c r="BE35" s="180" t="s">
        <v>375</v>
      </c>
      <c r="BF35" s="180" t="s">
        <v>360</v>
      </c>
      <c r="BG35" s="180" t="s">
        <v>376</v>
      </c>
      <c r="BH35" s="177" t="s">
        <v>109</v>
      </c>
      <c r="BI35" s="177" t="s">
        <v>109</v>
      </c>
      <c r="BJ35" s="177" t="b">
        <v>0</v>
      </c>
      <c r="BK35" s="233">
        <v>1405.1880000000001</v>
      </c>
      <c r="BL35" s="234" t="s">
        <v>128</v>
      </c>
      <c r="BM35" s="233">
        <v>2200.908557921</v>
      </c>
      <c r="BN35" s="233">
        <v>65.591071299999996</v>
      </c>
      <c r="BO35" s="233">
        <v>0</v>
      </c>
      <c r="BP35" s="233">
        <v>0</v>
      </c>
      <c r="BQ35" s="233">
        <v>0.145869</v>
      </c>
      <c r="BR35" s="233">
        <v>0</v>
      </c>
      <c r="BS35" s="233">
        <v>0</v>
      </c>
      <c r="BT35" s="233">
        <v>0</v>
      </c>
      <c r="BU35" s="233">
        <v>0</v>
      </c>
      <c r="BV35" s="233">
        <v>0</v>
      </c>
      <c r="BW35" s="233">
        <v>0</v>
      </c>
      <c r="BX35" s="233">
        <v>0</v>
      </c>
      <c r="BY35" s="234">
        <v>0</v>
      </c>
      <c r="BZ35" s="236" t="s">
        <v>109</v>
      </c>
      <c r="CA35" s="236" t="s">
        <v>109</v>
      </c>
      <c r="CB35" s="236" t="s">
        <v>377</v>
      </c>
      <c r="CC35" s="233">
        <v>2200.7626890000001</v>
      </c>
      <c r="CD35" s="233">
        <v>0</v>
      </c>
      <c r="CE35" s="233">
        <v>0</v>
      </c>
      <c r="CF35" s="233">
        <v>0.145869</v>
      </c>
      <c r="CG35" s="233">
        <v>0</v>
      </c>
      <c r="CH35" s="233">
        <v>0</v>
      </c>
      <c r="CI35" s="233">
        <v>0</v>
      </c>
      <c r="CJ35" s="237">
        <v>0</v>
      </c>
      <c r="CK35" s="177" t="s">
        <v>128</v>
      </c>
      <c r="CL35" s="177" t="s">
        <v>128</v>
      </c>
      <c r="CM35" s="155" t="s">
        <v>109</v>
      </c>
      <c r="CN35" s="229">
        <v>0</v>
      </c>
      <c r="CO35" s="229">
        <v>1</v>
      </c>
      <c r="CP35" t="s">
        <v>155</v>
      </c>
      <c r="CR35" s="248"/>
    </row>
    <row r="36" spans="1:96" ht="43.2" x14ac:dyDescent="0.3">
      <c r="A36">
        <v>33</v>
      </c>
      <c r="B36" s="173" t="s">
        <v>378</v>
      </c>
      <c r="C36" s="259"/>
      <c r="D36" s="260"/>
      <c r="E36" t="s">
        <v>380</v>
      </c>
      <c r="F36" t="s">
        <v>381</v>
      </c>
      <c r="G36" s="177" t="s">
        <v>355</v>
      </c>
      <c r="H36" s="177" t="s">
        <v>146</v>
      </c>
      <c r="I36" s="177" t="s">
        <v>146</v>
      </c>
      <c r="J36" s="177" t="s">
        <v>109</v>
      </c>
      <c r="K36" s="177" t="s">
        <v>250</v>
      </c>
      <c r="L36" s="177" t="s">
        <v>251</v>
      </c>
      <c r="M36" s="177" t="s">
        <v>109</v>
      </c>
      <c r="N36" s="177" t="s">
        <v>109</v>
      </c>
      <c r="O36" s="180">
        <v>45742</v>
      </c>
      <c r="P36" s="177" t="s">
        <v>109</v>
      </c>
      <c r="Q36" s="177" t="s">
        <v>109</v>
      </c>
      <c r="R36" s="177" t="s">
        <v>109</v>
      </c>
      <c r="S36" s="177" t="s">
        <v>109</v>
      </c>
      <c r="T36" s="177" t="s">
        <v>116</v>
      </c>
      <c r="U36" s="177" t="s">
        <v>117</v>
      </c>
      <c r="V36" s="177" t="b">
        <v>0</v>
      </c>
      <c r="W36" s="177" t="s">
        <v>109</v>
      </c>
      <c r="X36" s="261"/>
      <c r="Y36" s="177" t="s">
        <v>109</v>
      </c>
      <c r="Z36" s="176">
        <v>55.48</v>
      </c>
      <c r="AA36" s="177">
        <v>500</v>
      </c>
      <c r="AB36" s="177" t="s">
        <v>382</v>
      </c>
      <c r="AC36" s="177">
        <v>4.0999999999999996</v>
      </c>
      <c r="AD36" s="177" t="s">
        <v>383</v>
      </c>
      <c r="AE36" s="177" t="s">
        <v>300</v>
      </c>
      <c r="AF36" s="177">
        <v>1</v>
      </c>
      <c r="AG36" s="177">
        <v>1145</v>
      </c>
      <c r="AH36" s="177" t="s">
        <v>121</v>
      </c>
      <c r="AI36" s="177" t="b">
        <v>1</v>
      </c>
      <c r="AJ36" s="180">
        <v>43584</v>
      </c>
      <c r="AK36" s="177" t="s">
        <v>122</v>
      </c>
      <c r="AL36" s="177" t="s">
        <v>109</v>
      </c>
      <c r="AM36" s="177" t="s">
        <v>109</v>
      </c>
      <c r="AN36" s="177" t="b">
        <v>0</v>
      </c>
      <c r="AO36" s="177" t="s">
        <v>109</v>
      </c>
      <c r="AP36" s="177" t="s">
        <v>109</v>
      </c>
      <c r="AQ36" s="177" t="s">
        <v>118</v>
      </c>
      <c r="AR36" s="177" t="b">
        <v>0</v>
      </c>
      <c r="AS36" s="177" t="s">
        <v>123</v>
      </c>
      <c r="AT36" s="180" t="s">
        <v>123</v>
      </c>
      <c r="AU36" s="177" t="s">
        <v>124</v>
      </c>
      <c r="AV36" s="177" t="s">
        <v>109</v>
      </c>
      <c r="AW36" s="177" t="s">
        <v>109</v>
      </c>
      <c r="AX36" s="177" t="s">
        <v>109</v>
      </c>
      <c r="AY36" s="177" t="s">
        <v>135</v>
      </c>
      <c r="AZ36" s="177" t="s">
        <v>109</v>
      </c>
      <c r="BA36" s="177" t="s">
        <v>125</v>
      </c>
      <c r="BB36" s="177" t="s">
        <v>109</v>
      </c>
      <c r="BC36" s="177" t="s">
        <v>126</v>
      </c>
      <c r="BD36" s="177" t="s">
        <v>109</v>
      </c>
      <c r="BE36" s="180" t="s">
        <v>384</v>
      </c>
      <c r="BF36" s="180" t="s">
        <v>172</v>
      </c>
      <c r="BG36" s="180" t="s">
        <v>385</v>
      </c>
      <c r="BH36" s="177" t="s">
        <v>109</v>
      </c>
      <c r="BI36" s="177" t="s">
        <v>109</v>
      </c>
      <c r="BJ36" s="177" t="b">
        <v>0</v>
      </c>
      <c r="BK36" s="233">
        <v>558.81500000000005</v>
      </c>
      <c r="BL36" s="234" t="s">
        <v>128</v>
      </c>
      <c r="BM36" s="233">
        <v>1281.64617</v>
      </c>
      <c r="BN36" s="233">
        <v>-21.742139999999999</v>
      </c>
      <c r="BO36" s="233">
        <v>225.88382999999999</v>
      </c>
      <c r="BP36" s="233">
        <v>220.18256</v>
      </c>
      <c r="BQ36" s="233">
        <v>281.49833000000001</v>
      </c>
      <c r="BR36" s="233">
        <v>31.063790000000001</v>
      </c>
      <c r="BS36" s="233">
        <v>0</v>
      </c>
      <c r="BT36" s="233">
        <v>0</v>
      </c>
      <c r="BU36" s="233">
        <v>0</v>
      </c>
      <c r="BV36" s="233">
        <v>0</v>
      </c>
      <c r="BW36" s="233">
        <v>0</v>
      </c>
      <c r="BX36" s="233">
        <v>0</v>
      </c>
      <c r="BY36" s="234">
        <v>0</v>
      </c>
      <c r="BZ36" s="236" t="s">
        <v>109</v>
      </c>
      <c r="CA36" s="236" t="s">
        <v>109</v>
      </c>
      <c r="CB36" s="236">
        <v>2024</v>
      </c>
      <c r="CC36" s="233">
        <v>0</v>
      </c>
      <c r="CD36" s="233">
        <v>0</v>
      </c>
      <c r="CE36" s="233">
        <v>0</v>
      </c>
      <c r="CF36" s="233">
        <v>0</v>
      </c>
      <c r="CG36" s="233">
        <v>1281.64617</v>
      </c>
      <c r="CH36" s="233">
        <v>0</v>
      </c>
      <c r="CI36" s="233">
        <v>0</v>
      </c>
      <c r="CJ36" s="237">
        <v>0</v>
      </c>
      <c r="CK36" s="177" t="s">
        <v>128</v>
      </c>
      <c r="CL36" s="177" t="s">
        <v>128</v>
      </c>
      <c r="CM36" s="155" t="s">
        <v>109</v>
      </c>
      <c r="CN36" s="229">
        <v>1</v>
      </c>
      <c r="CO36" s="229">
        <v>0</v>
      </c>
      <c r="CP36" s="138" t="s">
        <v>386</v>
      </c>
      <c r="CR36" s="248"/>
    </row>
    <row r="37" spans="1:96" ht="14.4" x14ac:dyDescent="0.3">
      <c r="A37">
        <v>34</v>
      </c>
      <c r="B37" s="173" t="s">
        <v>387</v>
      </c>
      <c r="C37" s="259"/>
      <c r="D37" s="260"/>
      <c r="E37" t="s">
        <v>353</v>
      </c>
      <c r="F37" t="s">
        <v>388</v>
      </c>
      <c r="G37" s="177" t="s">
        <v>186</v>
      </c>
      <c r="H37" s="177" t="s">
        <v>113</v>
      </c>
      <c r="I37" s="177" t="s">
        <v>113</v>
      </c>
      <c r="J37" s="177" t="s">
        <v>109</v>
      </c>
      <c r="K37" s="177" t="s">
        <v>192</v>
      </c>
      <c r="L37" s="177" t="s">
        <v>188</v>
      </c>
      <c r="M37" s="177" t="s">
        <v>109</v>
      </c>
      <c r="N37" s="177" t="s">
        <v>109</v>
      </c>
      <c r="O37" s="180">
        <v>45754</v>
      </c>
      <c r="P37" s="177" t="s">
        <v>109</v>
      </c>
      <c r="Q37" s="177" t="s">
        <v>109</v>
      </c>
      <c r="R37" s="177" t="s">
        <v>109</v>
      </c>
      <c r="S37" s="177" t="s">
        <v>109</v>
      </c>
      <c r="T37" s="177" t="s">
        <v>116</v>
      </c>
      <c r="U37" s="177" t="s">
        <v>117</v>
      </c>
      <c r="V37" s="177" t="b">
        <v>0</v>
      </c>
      <c r="W37" s="177" t="s">
        <v>109</v>
      </c>
      <c r="X37" s="261"/>
      <c r="Y37" s="177" t="s">
        <v>109</v>
      </c>
      <c r="Z37" s="176">
        <v>1.2</v>
      </c>
      <c r="AA37" s="177" t="s">
        <v>109</v>
      </c>
      <c r="AB37" s="177" t="s">
        <v>109</v>
      </c>
      <c r="AC37" s="177">
        <v>4.0999999999999996</v>
      </c>
      <c r="AD37" s="177" t="s">
        <v>109</v>
      </c>
      <c r="AE37" s="177" t="s">
        <v>300</v>
      </c>
      <c r="AF37" s="177">
        <v>1</v>
      </c>
      <c r="AG37" s="177">
        <v>1145</v>
      </c>
      <c r="AH37" s="177" t="s">
        <v>121</v>
      </c>
      <c r="AI37" s="177" t="b">
        <v>1</v>
      </c>
      <c r="AJ37" s="180">
        <v>43809</v>
      </c>
      <c r="AK37" s="177" t="s">
        <v>122</v>
      </c>
      <c r="AL37" s="177" t="s">
        <v>109</v>
      </c>
      <c r="AM37" s="177" t="s">
        <v>109</v>
      </c>
      <c r="AN37" s="177" t="b">
        <v>0</v>
      </c>
      <c r="AO37" s="177" t="s">
        <v>109</v>
      </c>
      <c r="AP37" s="177" t="s">
        <v>109</v>
      </c>
      <c r="AQ37" s="177" t="s">
        <v>118</v>
      </c>
      <c r="AR37" s="177" t="b">
        <v>0</v>
      </c>
      <c r="AS37" s="177" t="s">
        <v>123</v>
      </c>
      <c r="AT37" s="180" t="s">
        <v>123</v>
      </c>
      <c r="AU37" s="177" t="s">
        <v>124</v>
      </c>
      <c r="AV37" s="177" t="s">
        <v>109</v>
      </c>
      <c r="AW37" s="177" t="s">
        <v>109</v>
      </c>
      <c r="AX37" s="177" t="s">
        <v>109</v>
      </c>
      <c r="AY37" s="177" t="s">
        <v>135</v>
      </c>
      <c r="AZ37" s="177" t="s">
        <v>109</v>
      </c>
      <c r="BA37" s="177" t="s">
        <v>125</v>
      </c>
      <c r="BB37" s="177" t="s">
        <v>109</v>
      </c>
      <c r="BC37" s="177" t="s">
        <v>126</v>
      </c>
      <c r="BD37" s="177" t="s">
        <v>109</v>
      </c>
      <c r="BE37" s="180" t="s">
        <v>389</v>
      </c>
      <c r="BF37" s="180" t="s">
        <v>172</v>
      </c>
      <c r="BG37" s="180">
        <v>43830</v>
      </c>
      <c r="BH37" s="177" t="s">
        <v>109</v>
      </c>
      <c r="BI37" s="177" t="s">
        <v>109</v>
      </c>
      <c r="BJ37" s="177" t="b">
        <v>0</v>
      </c>
      <c r="BK37" s="233">
        <v>1444.2239999999999</v>
      </c>
      <c r="BL37" s="234" t="s">
        <v>128</v>
      </c>
      <c r="BM37" s="233">
        <v>1097.4383499999999</v>
      </c>
      <c r="BN37" s="233">
        <v>124.95179</v>
      </c>
      <c r="BO37" s="233">
        <v>0</v>
      </c>
      <c r="BP37" s="233">
        <v>0</v>
      </c>
      <c r="BQ37" s="233">
        <v>0</v>
      </c>
      <c r="BR37" s="233">
        <v>0</v>
      </c>
      <c r="BS37" s="233">
        <v>0</v>
      </c>
      <c r="BT37" s="233">
        <v>0</v>
      </c>
      <c r="BU37" s="233">
        <v>0</v>
      </c>
      <c r="BV37" s="233">
        <v>0</v>
      </c>
      <c r="BW37" s="233">
        <v>0</v>
      </c>
      <c r="BX37" s="233">
        <v>0</v>
      </c>
      <c r="BY37" s="234">
        <v>0</v>
      </c>
      <c r="BZ37" s="236" t="s">
        <v>109</v>
      </c>
      <c r="CA37" s="236" t="s">
        <v>109</v>
      </c>
      <c r="CB37" s="236">
        <v>2020</v>
      </c>
      <c r="CC37" s="233">
        <v>1097.4383499999999</v>
      </c>
      <c r="CD37" s="233">
        <v>0</v>
      </c>
      <c r="CE37" s="233">
        <v>0</v>
      </c>
      <c r="CF37" s="233">
        <v>0</v>
      </c>
      <c r="CG37" s="233">
        <v>0</v>
      </c>
      <c r="CH37" s="233">
        <v>0</v>
      </c>
      <c r="CI37" s="233">
        <v>0</v>
      </c>
      <c r="CJ37" s="237">
        <v>0</v>
      </c>
      <c r="CK37" s="177" t="s">
        <v>128</v>
      </c>
      <c r="CL37" s="177" t="s">
        <v>128</v>
      </c>
      <c r="CM37" s="155" t="s">
        <v>109</v>
      </c>
      <c r="CN37" s="229">
        <v>0</v>
      </c>
      <c r="CO37" s="229">
        <v>0</v>
      </c>
      <c r="CP37" t="s">
        <v>390</v>
      </c>
      <c r="CR37" s="248"/>
    </row>
    <row r="38" spans="1:96" ht="14.4" x14ac:dyDescent="0.3">
      <c r="A38">
        <v>35</v>
      </c>
      <c r="B38" s="173" t="s">
        <v>391</v>
      </c>
      <c r="C38" s="259"/>
      <c r="D38" s="260"/>
      <c r="E38" t="s">
        <v>329</v>
      </c>
      <c r="F38" t="s">
        <v>392</v>
      </c>
      <c r="G38" s="177" t="s">
        <v>166</v>
      </c>
      <c r="H38" s="177" t="s">
        <v>146</v>
      </c>
      <c r="I38" s="177" t="s">
        <v>113</v>
      </c>
      <c r="J38" s="177" t="s">
        <v>109</v>
      </c>
      <c r="K38" s="177" t="s">
        <v>114</v>
      </c>
      <c r="L38" s="177" t="s">
        <v>393</v>
      </c>
      <c r="M38" s="177" t="s">
        <v>109</v>
      </c>
      <c r="N38" s="177" t="s">
        <v>109</v>
      </c>
      <c r="O38" s="180">
        <v>45794</v>
      </c>
      <c r="P38" s="177" t="s">
        <v>394</v>
      </c>
      <c r="Q38" s="177" t="s">
        <v>109</v>
      </c>
      <c r="R38" s="177" t="s">
        <v>109</v>
      </c>
      <c r="S38" s="177" t="s">
        <v>109</v>
      </c>
      <c r="T38" s="177" t="s">
        <v>116</v>
      </c>
      <c r="U38" s="177" t="s">
        <v>117</v>
      </c>
      <c r="V38" s="177" t="b">
        <v>0</v>
      </c>
      <c r="W38" s="177" t="s">
        <v>109</v>
      </c>
      <c r="X38" s="261"/>
      <c r="Y38" s="177" t="s">
        <v>109</v>
      </c>
      <c r="Z38" s="176">
        <v>13.94</v>
      </c>
      <c r="AA38" s="177">
        <v>138</v>
      </c>
      <c r="AB38" s="177" t="s">
        <v>395</v>
      </c>
      <c r="AC38" s="177">
        <v>4.0999999999999996</v>
      </c>
      <c r="AD38" s="177" t="s">
        <v>396</v>
      </c>
      <c r="AE38" s="177" t="s">
        <v>300</v>
      </c>
      <c r="AF38" s="177">
        <v>1</v>
      </c>
      <c r="AG38" s="177">
        <v>1145</v>
      </c>
      <c r="AH38" s="177" t="s">
        <v>121</v>
      </c>
      <c r="AI38" s="177" t="b">
        <v>1</v>
      </c>
      <c r="AJ38" s="180">
        <v>43593</v>
      </c>
      <c r="AK38" s="177" t="s">
        <v>122</v>
      </c>
      <c r="AL38" s="177" t="s">
        <v>109</v>
      </c>
      <c r="AM38" s="177" t="s">
        <v>109</v>
      </c>
      <c r="AN38" s="177" t="b">
        <v>0</v>
      </c>
      <c r="AO38" s="177" t="s">
        <v>109</v>
      </c>
      <c r="AP38" s="177" t="s">
        <v>109</v>
      </c>
      <c r="AQ38" s="177" t="s">
        <v>118</v>
      </c>
      <c r="AR38" s="177" t="b">
        <v>0</v>
      </c>
      <c r="AS38" s="177" t="s">
        <v>123</v>
      </c>
      <c r="AT38" s="180" t="s">
        <v>123</v>
      </c>
      <c r="AU38" s="177" t="s">
        <v>124</v>
      </c>
      <c r="AV38" s="177" t="s">
        <v>109</v>
      </c>
      <c r="AW38" s="177" t="s">
        <v>109</v>
      </c>
      <c r="AX38" s="177" t="s">
        <v>109</v>
      </c>
      <c r="AY38" s="177" t="s">
        <v>135</v>
      </c>
      <c r="AZ38" s="177" t="s">
        <v>109</v>
      </c>
      <c r="BA38" s="177" t="s">
        <v>125</v>
      </c>
      <c r="BB38" s="177" t="s">
        <v>109</v>
      </c>
      <c r="BC38" s="177" t="s">
        <v>397</v>
      </c>
      <c r="BD38" s="177" t="s">
        <v>109</v>
      </c>
      <c r="BE38" s="180" t="s">
        <v>398</v>
      </c>
      <c r="BF38" s="180" t="s">
        <v>152</v>
      </c>
      <c r="BG38" s="180" t="s">
        <v>399</v>
      </c>
      <c r="BH38" s="177" t="s">
        <v>138</v>
      </c>
      <c r="BI38" s="177" t="s">
        <v>109</v>
      </c>
      <c r="BJ38" s="177" t="b">
        <v>0</v>
      </c>
      <c r="BK38" s="233">
        <v>1313.2239999999999</v>
      </c>
      <c r="BL38" s="234" t="s">
        <v>128</v>
      </c>
      <c r="BM38" s="233">
        <v>2273.0091977489801</v>
      </c>
      <c r="BN38" s="233">
        <v>37.183689999999999</v>
      </c>
      <c r="BO38" s="233">
        <v>48.283470000000001</v>
      </c>
      <c r="BP38" s="233">
        <v>509.53300999999999</v>
      </c>
      <c r="BQ38" s="233">
        <v>469.84789000000001</v>
      </c>
      <c r="BR38" s="233">
        <v>479.31675000000001</v>
      </c>
      <c r="BS38" s="233">
        <v>44.699860000000001</v>
      </c>
      <c r="BT38" s="233">
        <v>136.83159689999999</v>
      </c>
      <c r="BU38" s="233">
        <v>139.1974309</v>
      </c>
      <c r="BV38" s="233">
        <v>0</v>
      </c>
      <c r="BW38" s="233">
        <v>0</v>
      </c>
      <c r="BX38" s="233">
        <v>0</v>
      </c>
      <c r="BY38" s="234">
        <v>1996.9801699489801</v>
      </c>
      <c r="BZ38" s="236" t="s">
        <v>109</v>
      </c>
      <c r="CA38" s="236" t="s">
        <v>109</v>
      </c>
      <c r="CB38" s="236" t="s">
        <v>109</v>
      </c>
      <c r="CC38" s="233">
        <v>0</v>
      </c>
      <c r="CD38" s="233">
        <v>0</v>
      </c>
      <c r="CE38" s="233">
        <v>0</v>
      </c>
      <c r="CF38" s="233">
        <v>0</v>
      </c>
      <c r="CG38" s="233">
        <v>0</v>
      </c>
      <c r="CH38" s="233">
        <v>0</v>
      </c>
      <c r="CI38" s="233">
        <v>0</v>
      </c>
      <c r="CJ38" s="237">
        <v>0</v>
      </c>
      <c r="CK38" s="177" t="s">
        <v>128</v>
      </c>
      <c r="CL38" s="177" t="s">
        <v>128</v>
      </c>
      <c r="CM38" s="155" t="s">
        <v>109</v>
      </c>
      <c r="CN38" s="229">
        <v>0</v>
      </c>
      <c r="CO38" s="229">
        <v>1</v>
      </c>
      <c r="CP38" t="s">
        <v>400</v>
      </c>
      <c r="CR38" s="248"/>
    </row>
    <row r="39" spans="1:96" ht="14.4" x14ac:dyDescent="0.3">
      <c r="A39">
        <v>36</v>
      </c>
      <c r="B39" s="173" t="s">
        <v>401</v>
      </c>
      <c r="C39" s="259"/>
      <c r="D39" s="260"/>
      <c r="E39" t="s">
        <v>329</v>
      </c>
      <c r="F39" t="s">
        <v>402</v>
      </c>
      <c r="G39" s="177" t="s">
        <v>166</v>
      </c>
      <c r="H39" s="177" t="s">
        <v>146</v>
      </c>
      <c r="I39" s="177" t="s">
        <v>113</v>
      </c>
      <c r="J39" s="177" t="s">
        <v>109</v>
      </c>
      <c r="K39" s="177" t="s">
        <v>114</v>
      </c>
      <c r="L39" s="177" t="s">
        <v>393</v>
      </c>
      <c r="M39" s="177" t="s">
        <v>109</v>
      </c>
      <c r="N39" s="177" t="s">
        <v>109</v>
      </c>
      <c r="O39" s="180">
        <v>45762</v>
      </c>
      <c r="P39" s="177" t="s">
        <v>403</v>
      </c>
      <c r="Q39" s="177" t="s">
        <v>109</v>
      </c>
      <c r="R39" s="177" t="s">
        <v>109</v>
      </c>
      <c r="S39" s="177" t="s">
        <v>109</v>
      </c>
      <c r="T39" s="177" t="s">
        <v>404</v>
      </c>
      <c r="U39" s="177" t="s">
        <v>117</v>
      </c>
      <c r="V39" s="177" t="b">
        <v>0</v>
      </c>
      <c r="W39" s="177" t="s">
        <v>109</v>
      </c>
      <c r="X39" s="261"/>
      <c r="Y39" s="177" t="s">
        <v>109</v>
      </c>
      <c r="Z39" s="176">
        <v>1.57</v>
      </c>
      <c r="AA39" s="177">
        <v>69</v>
      </c>
      <c r="AB39" s="177" t="s">
        <v>405</v>
      </c>
      <c r="AC39" s="177">
        <v>4.0999999999999996</v>
      </c>
      <c r="AD39" s="177" t="s">
        <v>406</v>
      </c>
      <c r="AE39" s="177" t="s">
        <v>300</v>
      </c>
      <c r="AF39" s="177">
        <v>1</v>
      </c>
      <c r="AG39" s="177">
        <v>1145</v>
      </c>
      <c r="AH39" s="177" t="s">
        <v>121</v>
      </c>
      <c r="AI39" s="177" t="b">
        <v>1</v>
      </c>
      <c r="AJ39" s="180">
        <v>43594</v>
      </c>
      <c r="AK39" s="177" t="s">
        <v>122</v>
      </c>
      <c r="AL39" s="177" t="s">
        <v>109</v>
      </c>
      <c r="AM39" s="177" t="s">
        <v>109</v>
      </c>
      <c r="AN39" s="177" t="b">
        <v>0</v>
      </c>
      <c r="AO39" s="177" t="s">
        <v>109</v>
      </c>
      <c r="AP39" s="177" t="s">
        <v>109</v>
      </c>
      <c r="AQ39" s="177" t="s">
        <v>118</v>
      </c>
      <c r="AR39" s="177" t="b">
        <v>0</v>
      </c>
      <c r="AS39" s="177" t="s">
        <v>123</v>
      </c>
      <c r="AT39" s="180" t="s">
        <v>123</v>
      </c>
      <c r="AU39" s="177" t="s">
        <v>124</v>
      </c>
      <c r="AV39" s="177" t="s">
        <v>109</v>
      </c>
      <c r="AW39" s="177" t="s">
        <v>109</v>
      </c>
      <c r="AX39" s="177" t="s">
        <v>109</v>
      </c>
      <c r="AY39" s="177" t="s">
        <v>135</v>
      </c>
      <c r="AZ39" s="177" t="s">
        <v>109</v>
      </c>
      <c r="BA39" s="177" t="s">
        <v>125</v>
      </c>
      <c r="BB39" s="177" t="s">
        <v>109</v>
      </c>
      <c r="BC39" s="177" t="s">
        <v>126</v>
      </c>
      <c r="BD39" s="177" t="s">
        <v>109</v>
      </c>
      <c r="BE39" s="180" t="s">
        <v>407</v>
      </c>
      <c r="BF39" s="180" t="s">
        <v>152</v>
      </c>
      <c r="BG39" s="180" t="s">
        <v>408</v>
      </c>
      <c r="BH39" s="177" t="s">
        <v>109</v>
      </c>
      <c r="BI39" s="177" t="s">
        <v>109</v>
      </c>
      <c r="BJ39" s="177" t="b">
        <v>0</v>
      </c>
      <c r="BK39" s="233">
        <v>741.28700000000003</v>
      </c>
      <c r="BL39" s="234" t="s">
        <v>128</v>
      </c>
      <c r="BM39" s="233">
        <v>2156.2311</v>
      </c>
      <c r="BN39" s="233">
        <v>229.56702999999999</v>
      </c>
      <c r="BO39" s="233">
        <v>475.47674000000001</v>
      </c>
      <c r="BP39" s="233">
        <v>349.21902999999998</v>
      </c>
      <c r="BQ39" s="233">
        <v>804.83626000000004</v>
      </c>
      <c r="BR39" s="233">
        <v>122.86556</v>
      </c>
      <c r="BS39" s="233">
        <v>0</v>
      </c>
      <c r="BT39" s="233">
        <v>0</v>
      </c>
      <c r="BU39" s="233">
        <v>0</v>
      </c>
      <c r="BV39" s="233">
        <v>0</v>
      </c>
      <c r="BW39" s="233">
        <v>0</v>
      </c>
      <c r="BX39" s="233">
        <v>0</v>
      </c>
      <c r="BY39" s="234">
        <v>0</v>
      </c>
      <c r="BZ39" s="236" t="s">
        <v>109</v>
      </c>
      <c r="CA39" s="236" t="s">
        <v>109</v>
      </c>
      <c r="CB39" s="236" t="s">
        <v>174</v>
      </c>
      <c r="CC39" s="233">
        <v>0</v>
      </c>
      <c r="CD39" s="233">
        <v>0</v>
      </c>
      <c r="CE39" s="233">
        <v>0</v>
      </c>
      <c r="CF39" s="233">
        <v>2033.36554</v>
      </c>
      <c r="CG39" s="233">
        <v>122.86556</v>
      </c>
      <c r="CH39" s="233">
        <v>0</v>
      </c>
      <c r="CI39" s="233">
        <v>0</v>
      </c>
      <c r="CJ39" s="237">
        <v>0</v>
      </c>
      <c r="CK39" s="177" t="s">
        <v>128</v>
      </c>
      <c r="CL39" s="177" t="s">
        <v>128</v>
      </c>
      <c r="CM39" s="155" t="s">
        <v>109</v>
      </c>
      <c r="CN39" s="229">
        <v>0</v>
      </c>
      <c r="CO39" s="229">
        <v>1</v>
      </c>
      <c r="CP39" t="s">
        <v>155</v>
      </c>
      <c r="CR39" s="248"/>
    </row>
    <row r="40" spans="1:96" ht="14.4" x14ac:dyDescent="0.3">
      <c r="A40">
        <v>37</v>
      </c>
      <c r="B40" s="173" t="s">
        <v>409</v>
      </c>
      <c r="C40" s="259"/>
      <c r="D40" s="260"/>
      <c r="E40" t="s">
        <v>410</v>
      </c>
      <c r="F40" t="s">
        <v>411</v>
      </c>
      <c r="G40" s="177" t="s">
        <v>166</v>
      </c>
      <c r="H40" s="177" t="s">
        <v>146</v>
      </c>
      <c r="I40" s="177" t="s">
        <v>113</v>
      </c>
      <c r="J40" s="177" t="s">
        <v>109</v>
      </c>
      <c r="K40" s="177" t="s">
        <v>114</v>
      </c>
      <c r="L40" s="177" t="s">
        <v>393</v>
      </c>
      <c r="M40" s="177" t="s">
        <v>109</v>
      </c>
      <c r="N40" s="177" t="s">
        <v>109</v>
      </c>
      <c r="O40" s="180">
        <v>45779</v>
      </c>
      <c r="P40" s="177" t="s">
        <v>412</v>
      </c>
      <c r="Q40" s="177" t="s">
        <v>109</v>
      </c>
      <c r="R40" s="177" t="s">
        <v>109</v>
      </c>
      <c r="S40" s="177" t="s">
        <v>109</v>
      </c>
      <c r="T40" s="177" t="s">
        <v>116</v>
      </c>
      <c r="U40" s="177" t="s">
        <v>117</v>
      </c>
      <c r="V40" s="177" t="b">
        <v>0</v>
      </c>
      <c r="W40" s="177" t="s">
        <v>123</v>
      </c>
      <c r="X40" s="261"/>
      <c r="Y40" s="177" t="s">
        <v>109</v>
      </c>
      <c r="Z40" s="176">
        <v>0.79</v>
      </c>
      <c r="AA40" s="177" t="s">
        <v>413</v>
      </c>
      <c r="AB40" s="177" t="s">
        <v>414</v>
      </c>
      <c r="AC40" s="177">
        <v>4.0999999999999996</v>
      </c>
      <c r="AD40" s="177" t="s">
        <v>415</v>
      </c>
      <c r="AE40" s="177" t="s">
        <v>300</v>
      </c>
      <c r="AF40" s="177">
        <v>1</v>
      </c>
      <c r="AG40" s="177">
        <v>1145</v>
      </c>
      <c r="AH40" s="177" t="s">
        <v>121</v>
      </c>
      <c r="AI40" s="177" t="b">
        <v>1</v>
      </c>
      <c r="AJ40" s="180">
        <v>45209</v>
      </c>
      <c r="AK40" s="177" t="s">
        <v>122</v>
      </c>
      <c r="AL40" s="177">
        <v>2024</v>
      </c>
      <c r="AM40" s="177" t="s">
        <v>109</v>
      </c>
      <c r="AN40" s="177" t="b">
        <v>0</v>
      </c>
      <c r="AO40" s="177" t="s">
        <v>109</v>
      </c>
      <c r="AP40" s="177" t="s">
        <v>109</v>
      </c>
      <c r="AQ40" s="177" t="s">
        <v>109</v>
      </c>
      <c r="AR40" s="177" t="b">
        <v>0</v>
      </c>
      <c r="AS40" s="177" t="s">
        <v>123</v>
      </c>
      <c r="AT40" s="180" t="s">
        <v>123</v>
      </c>
      <c r="AU40" s="177" t="s">
        <v>124</v>
      </c>
      <c r="AV40" s="177" t="s">
        <v>109</v>
      </c>
      <c r="AW40" s="177" t="s">
        <v>226</v>
      </c>
      <c r="AX40" s="177" t="s">
        <v>118</v>
      </c>
      <c r="AY40" s="177" t="s">
        <v>109</v>
      </c>
      <c r="AZ40" s="177" t="s">
        <v>109</v>
      </c>
      <c r="BA40" s="177" t="s">
        <v>125</v>
      </c>
      <c r="BB40" s="177" t="s">
        <v>109</v>
      </c>
      <c r="BC40" s="177" t="s">
        <v>150</v>
      </c>
      <c r="BD40" s="177" t="s">
        <v>109</v>
      </c>
      <c r="BE40" s="180" t="s">
        <v>416</v>
      </c>
      <c r="BF40" s="180" t="s">
        <v>417</v>
      </c>
      <c r="BG40" s="180" t="s">
        <v>418</v>
      </c>
      <c r="BH40" s="177" t="s">
        <v>109</v>
      </c>
      <c r="BI40" s="177" t="s">
        <v>109</v>
      </c>
      <c r="BJ40" s="177" t="b">
        <v>1</v>
      </c>
      <c r="BK40" s="233">
        <v>767.59236999999996</v>
      </c>
      <c r="BL40" s="234" t="s">
        <v>128</v>
      </c>
      <c r="BM40" s="233">
        <v>2039.5142878362601</v>
      </c>
      <c r="BN40" s="233">
        <v>0</v>
      </c>
      <c r="BO40" s="233">
        <v>0</v>
      </c>
      <c r="BP40" s="233">
        <v>0</v>
      </c>
      <c r="BQ40" s="233">
        <v>6.1174799999999996</v>
      </c>
      <c r="BR40" s="233">
        <v>1586.4526000000001</v>
      </c>
      <c r="BS40" s="233">
        <v>379.35908000000001</v>
      </c>
      <c r="BT40" s="233">
        <v>67.585127799999995</v>
      </c>
      <c r="BU40" s="233">
        <v>0</v>
      </c>
      <c r="BV40" s="233">
        <v>0</v>
      </c>
      <c r="BW40" s="233">
        <v>0</v>
      </c>
      <c r="BX40" s="233">
        <v>0</v>
      </c>
      <c r="BY40" s="234">
        <v>1972</v>
      </c>
      <c r="BZ40" s="236" t="s">
        <v>109</v>
      </c>
      <c r="CA40" s="236" t="s">
        <v>109</v>
      </c>
      <c r="CB40" s="236">
        <v>2025</v>
      </c>
      <c r="CC40" s="233">
        <v>0</v>
      </c>
      <c r="CD40" s="233">
        <v>0</v>
      </c>
      <c r="CE40" s="233">
        <v>0</v>
      </c>
      <c r="CF40" s="233">
        <v>0</v>
      </c>
      <c r="CG40" s="233">
        <v>0</v>
      </c>
      <c r="CH40" s="233">
        <v>0</v>
      </c>
      <c r="CI40" s="233">
        <v>2039.5142877999999</v>
      </c>
      <c r="CJ40" s="177" t="s">
        <v>128</v>
      </c>
      <c r="CK40" s="177" t="s">
        <v>128</v>
      </c>
      <c r="CL40" s="177" t="s">
        <v>128</v>
      </c>
      <c r="CM40" s="155" t="s">
        <v>109</v>
      </c>
      <c r="CN40" s="229">
        <v>0</v>
      </c>
      <c r="CO40" s="229">
        <v>1</v>
      </c>
      <c r="CP40" t="s">
        <v>419</v>
      </c>
      <c r="CR40" s="248"/>
    </row>
    <row r="41" spans="1:96" ht="14.4" x14ac:dyDescent="0.3">
      <c r="A41">
        <v>38</v>
      </c>
      <c r="B41" s="173" t="s">
        <v>420</v>
      </c>
      <c r="C41" s="259"/>
      <c r="D41" s="260"/>
      <c r="E41" t="s">
        <v>421</v>
      </c>
      <c r="F41" t="s">
        <v>422</v>
      </c>
      <c r="G41" s="177" t="s">
        <v>166</v>
      </c>
      <c r="H41" s="177" t="s">
        <v>113</v>
      </c>
      <c r="I41" s="177" t="s">
        <v>113</v>
      </c>
      <c r="J41" s="177" t="s">
        <v>109</v>
      </c>
      <c r="K41" s="177" t="s">
        <v>114</v>
      </c>
      <c r="L41" s="177" t="s">
        <v>251</v>
      </c>
      <c r="M41" s="177" t="s">
        <v>109</v>
      </c>
      <c r="N41" s="177" t="s">
        <v>109</v>
      </c>
      <c r="O41" s="180">
        <v>45754</v>
      </c>
      <c r="P41" s="177" t="s">
        <v>423</v>
      </c>
      <c r="Q41" s="177" t="s">
        <v>109</v>
      </c>
      <c r="R41" s="177" t="s">
        <v>109</v>
      </c>
      <c r="S41" s="177" t="s">
        <v>109</v>
      </c>
      <c r="T41" s="177" t="s">
        <v>116</v>
      </c>
      <c r="U41" s="177" t="s">
        <v>117</v>
      </c>
      <c r="V41" s="177" t="b">
        <v>0</v>
      </c>
      <c r="W41" s="177" t="s">
        <v>123</v>
      </c>
      <c r="X41" s="261"/>
      <c r="Y41" s="177" t="s">
        <v>118</v>
      </c>
      <c r="Z41" s="176">
        <v>1.51</v>
      </c>
      <c r="AA41" s="177" t="s">
        <v>413</v>
      </c>
      <c r="AB41" s="177" t="s">
        <v>413</v>
      </c>
      <c r="AC41" s="177">
        <v>4.0999999999999996</v>
      </c>
      <c r="AD41" s="177" t="s">
        <v>424</v>
      </c>
      <c r="AE41" s="177" t="s">
        <v>300</v>
      </c>
      <c r="AF41" s="177">
        <v>1</v>
      </c>
      <c r="AG41" s="177">
        <v>1145</v>
      </c>
      <c r="AH41" s="177" t="s">
        <v>121</v>
      </c>
      <c r="AI41" s="177" t="b">
        <v>1</v>
      </c>
      <c r="AJ41" s="180">
        <v>43593</v>
      </c>
      <c r="AK41" s="177" t="s">
        <v>122</v>
      </c>
      <c r="AL41" s="177">
        <v>2020</v>
      </c>
      <c r="AM41" s="177" t="s">
        <v>109</v>
      </c>
      <c r="AN41" s="177" t="b">
        <v>0</v>
      </c>
      <c r="AO41" s="177" t="s">
        <v>109</v>
      </c>
      <c r="AP41" s="177" t="s">
        <v>109</v>
      </c>
      <c r="AQ41" s="177" t="s">
        <v>109</v>
      </c>
      <c r="AR41" s="177" t="b">
        <v>0</v>
      </c>
      <c r="AS41" s="177" t="s">
        <v>123</v>
      </c>
      <c r="AT41" s="180" t="s">
        <v>123</v>
      </c>
      <c r="AU41" s="177" t="s">
        <v>124</v>
      </c>
      <c r="AV41" s="177" t="s">
        <v>109</v>
      </c>
      <c r="AW41" s="177" t="s">
        <v>226</v>
      </c>
      <c r="AX41" s="177" t="s">
        <v>118</v>
      </c>
      <c r="AY41" s="177" t="s">
        <v>135</v>
      </c>
      <c r="AZ41" s="177" t="s">
        <v>109</v>
      </c>
      <c r="BA41" s="177" t="s">
        <v>125</v>
      </c>
      <c r="BB41" s="177" t="s">
        <v>109</v>
      </c>
      <c r="BC41" s="177" t="s">
        <v>425</v>
      </c>
      <c r="BD41" s="177" t="s">
        <v>109</v>
      </c>
      <c r="BE41" s="180" t="s">
        <v>426</v>
      </c>
      <c r="BF41" s="180" t="s">
        <v>152</v>
      </c>
      <c r="BG41" s="180" t="s">
        <v>427</v>
      </c>
      <c r="BH41" s="177" t="s">
        <v>109</v>
      </c>
      <c r="BI41" s="177" t="s">
        <v>109</v>
      </c>
      <c r="BJ41" s="177" t="b">
        <v>1</v>
      </c>
      <c r="BK41" s="233">
        <v>741.28700000000003</v>
      </c>
      <c r="BL41" s="234" t="s">
        <v>128</v>
      </c>
      <c r="BM41" s="233">
        <v>2028.87979</v>
      </c>
      <c r="BN41" s="233">
        <v>23.748889999999999</v>
      </c>
      <c r="BO41" s="233">
        <v>36.121540000000003</v>
      </c>
      <c r="BP41" s="233">
        <v>149.72622000000001</v>
      </c>
      <c r="BQ41" s="233">
        <v>428.36462</v>
      </c>
      <c r="BR41" s="233">
        <v>1300.2126000000001</v>
      </c>
      <c r="BS41" s="233">
        <v>-136.46120999999999</v>
      </c>
      <c r="BT41" s="233">
        <v>0</v>
      </c>
      <c r="BU41" s="233">
        <v>0</v>
      </c>
      <c r="BV41" s="233">
        <v>0</v>
      </c>
      <c r="BW41" s="233">
        <v>0</v>
      </c>
      <c r="BX41" s="233">
        <v>0</v>
      </c>
      <c r="BY41" s="234">
        <v>0</v>
      </c>
      <c r="BZ41" s="236" t="s">
        <v>109</v>
      </c>
      <c r="CA41" s="236" t="s">
        <v>109</v>
      </c>
      <c r="CB41" s="236" t="s">
        <v>196</v>
      </c>
      <c r="CC41" s="233">
        <v>0</v>
      </c>
      <c r="CD41" s="233">
        <v>0</v>
      </c>
      <c r="CE41" s="233">
        <v>0</v>
      </c>
      <c r="CF41" s="233">
        <v>0</v>
      </c>
      <c r="CG41" s="233">
        <v>2165.3409999999999</v>
      </c>
      <c r="CH41" s="233">
        <v>-136.46120999999999</v>
      </c>
      <c r="CI41" s="233">
        <v>0</v>
      </c>
      <c r="CJ41" s="177" t="s">
        <v>128</v>
      </c>
      <c r="CK41" s="177" t="s">
        <v>128</v>
      </c>
      <c r="CL41" s="177" t="s">
        <v>128</v>
      </c>
      <c r="CM41" s="155" t="s">
        <v>109</v>
      </c>
      <c r="CN41" s="229">
        <v>0</v>
      </c>
      <c r="CO41" s="229">
        <v>1</v>
      </c>
      <c r="CP41" t="s">
        <v>428</v>
      </c>
      <c r="CR41" s="248"/>
    </row>
    <row r="42" spans="1:96" ht="43.2" x14ac:dyDescent="0.3">
      <c r="A42">
        <v>39</v>
      </c>
      <c r="B42" s="173" t="s">
        <v>430</v>
      </c>
      <c r="C42" s="259"/>
      <c r="D42" s="260"/>
      <c r="E42" t="s">
        <v>109</v>
      </c>
      <c r="F42" t="s">
        <v>431</v>
      </c>
      <c r="G42" s="177" t="s">
        <v>111</v>
      </c>
      <c r="H42" s="177" t="s">
        <v>113</v>
      </c>
      <c r="I42" s="177" t="s">
        <v>109</v>
      </c>
      <c r="J42" s="177" t="s">
        <v>109</v>
      </c>
      <c r="K42" s="177" t="s">
        <v>114</v>
      </c>
      <c r="L42" s="177" t="s">
        <v>432</v>
      </c>
      <c r="M42" s="177" t="s">
        <v>194</v>
      </c>
      <c r="N42" s="177" t="s">
        <v>109</v>
      </c>
      <c r="O42" s="180" t="s">
        <v>109</v>
      </c>
      <c r="P42" s="177" t="s">
        <v>109</v>
      </c>
      <c r="Q42" s="177" t="s">
        <v>109</v>
      </c>
      <c r="R42" s="177" t="s">
        <v>109</v>
      </c>
      <c r="S42" s="177" t="s">
        <v>109</v>
      </c>
      <c r="T42" s="177" t="s">
        <v>116</v>
      </c>
      <c r="U42" s="177" t="s">
        <v>117</v>
      </c>
      <c r="V42" s="177" t="b">
        <v>0</v>
      </c>
      <c r="W42" s="177" t="s">
        <v>109</v>
      </c>
      <c r="X42" s="261"/>
      <c r="Y42" s="177" t="s">
        <v>118</v>
      </c>
      <c r="Z42" s="177" t="s">
        <v>118</v>
      </c>
      <c r="AA42" s="177" t="s">
        <v>433</v>
      </c>
      <c r="AB42" s="177" t="s">
        <v>434</v>
      </c>
      <c r="AC42" s="177">
        <v>2.1</v>
      </c>
      <c r="AD42" s="177" t="s">
        <v>119</v>
      </c>
      <c r="AE42" s="177" t="s">
        <v>435</v>
      </c>
      <c r="AF42" s="177">
        <v>1</v>
      </c>
      <c r="AG42" s="177">
        <v>3171</v>
      </c>
      <c r="AH42" s="177" t="s">
        <v>121</v>
      </c>
      <c r="AI42" s="177" t="b">
        <v>1</v>
      </c>
      <c r="AJ42" s="180">
        <v>45637</v>
      </c>
      <c r="AK42" s="177" t="s">
        <v>122</v>
      </c>
      <c r="AL42" s="177" t="s">
        <v>109</v>
      </c>
      <c r="AM42" s="177" t="s">
        <v>109</v>
      </c>
      <c r="AN42" s="177" t="b">
        <v>0</v>
      </c>
      <c r="AO42" s="177" t="s">
        <v>109</v>
      </c>
      <c r="AP42" s="177" t="s">
        <v>109</v>
      </c>
      <c r="AQ42" s="177" t="s">
        <v>118</v>
      </c>
      <c r="AR42" s="177" t="b">
        <v>0</v>
      </c>
      <c r="AS42" s="177" t="s">
        <v>123</v>
      </c>
      <c r="AT42" s="180" t="s">
        <v>123</v>
      </c>
      <c r="AU42" s="177" t="s">
        <v>109</v>
      </c>
      <c r="AV42" s="177" t="s">
        <v>109</v>
      </c>
      <c r="AW42" s="177" t="s">
        <v>118</v>
      </c>
      <c r="AX42" s="177" t="s">
        <v>118</v>
      </c>
      <c r="AY42" s="177" t="s">
        <v>135</v>
      </c>
      <c r="AZ42" s="177" t="s">
        <v>109</v>
      </c>
      <c r="BA42" s="177" t="s">
        <v>218</v>
      </c>
      <c r="BB42" s="177" t="s">
        <v>109</v>
      </c>
      <c r="BC42" s="177" t="s">
        <v>126</v>
      </c>
      <c r="BD42" s="177" t="s">
        <v>109</v>
      </c>
      <c r="BE42" s="180" t="s">
        <v>109</v>
      </c>
      <c r="BF42" s="180" t="s">
        <v>127</v>
      </c>
      <c r="BG42" s="180" t="s">
        <v>119</v>
      </c>
      <c r="BH42" s="177" t="s">
        <v>109</v>
      </c>
      <c r="BI42" s="177" t="s">
        <v>109</v>
      </c>
      <c r="BJ42" s="177" t="b">
        <v>1</v>
      </c>
      <c r="BK42" s="233" t="s">
        <v>118</v>
      </c>
      <c r="BL42" s="234" t="s">
        <v>128</v>
      </c>
      <c r="BM42" s="233">
        <f>70344.6007560671-SUM(BM43:BM49,BM368)</f>
        <v>42004.307450035521</v>
      </c>
      <c r="BN42" s="235">
        <f>4151.4153411-SUM(BN43:BN49,BN368)</f>
        <v>369.28063269999984</v>
      </c>
      <c r="BO42" s="235">
        <f>7722.0815217-SUM(BO43:BO49,BO368)</f>
        <v>1813.0371069000003</v>
      </c>
      <c r="BP42" s="235">
        <f>8927.8920663-SUM(BP43:BP49,BP368)</f>
        <v>1572.2725614999999</v>
      </c>
      <c r="BQ42" s="235">
        <f>6111.4228043-SUM(BQ43:BQ49,BQ368)</f>
        <v>1462.7524223</v>
      </c>
      <c r="BR42" s="235">
        <f>2990.0538007-SUM(BR43:BR49,BR368)</f>
        <v>505.62997870000027</v>
      </c>
      <c r="BS42" s="235">
        <f>392.99436-SUM(BS43:BS49,BS368)</f>
        <v>65.697267999999951</v>
      </c>
      <c r="BT42" s="235">
        <f>2101.9103602-SUM(BT43:BT49,BT368)</f>
        <v>1993.4649300999999</v>
      </c>
      <c r="BU42" s="235">
        <f>3331.9496081-SUM(BU43:BU49,BU368)</f>
        <v>3331.9496081000002</v>
      </c>
      <c r="BV42" s="235">
        <f>3698.3134123-SUM(BV43:BV49,BV368)</f>
        <v>3698.3134123</v>
      </c>
      <c r="BW42" s="235">
        <f>4120.982835-SUM(BW43:BW49,BW368)</f>
        <v>4120.9828349999998</v>
      </c>
      <c r="BX42" s="235">
        <f>3426.8619007-SUM(BX43:BX49,BX368)</f>
        <v>3426.8619007000002</v>
      </c>
      <c r="BY42" s="234">
        <v>284.20849999999996</v>
      </c>
      <c r="BZ42" s="236" t="s">
        <v>109</v>
      </c>
      <c r="CA42" s="236" t="s">
        <v>109</v>
      </c>
      <c r="CB42" s="236" t="s">
        <v>129</v>
      </c>
      <c r="CC42" s="235">
        <f>89.2931494-SUM(CC43:CC49,CC368)</f>
        <v>89.293149400000004</v>
      </c>
      <c r="CD42" s="235">
        <f>249.5037717-SUM(CD43:CD49,CD368)</f>
        <v>265.52540920000001</v>
      </c>
      <c r="CE42" s="235">
        <f>11386.0074607-SUM(CE43:CE49,CE368)</f>
        <v>2153.7935734000002</v>
      </c>
      <c r="CF42" s="235">
        <f>5469.5212991-SUM(CF43:CF49,CF368)</f>
        <v>2297.6405</v>
      </c>
      <c r="CG42" s="235">
        <f>8187.3303748-SUM(CG43:CG49,CG368)</f>
        <v>984.64648979999947</v>
      </c>
      <c r="CH42" s="235">
        <f>8689.688544-SUM(CH43:CH49,CH368)</f>
        <v>48.597601999999824</v>
      </c>
      <c r="CI42" s="235">
        <f>420.169256799998-SUM(CI43:CI49,CI368)</f>
        <v>311.72382669999797</v>
      </c>
      <c r="CJ42" s="237">
        <v>0</v>
      </c>
      <c r="CK42" s="177" t="s">
        <v>128</v>
      </c>
      <c r="CL42" s="177">
        <v>15.4</v>
      </c>
      <c r="CM42" s="155" t="s">
        <v>109</v>
      </c>
      <c r="CN42" s="229">
        <v>0.13550000000000001</v>
      </c>
      <c r="CO42" s="229">
        <v>0.86450000000000005</v>
      </c>
      <c r="CP42" s="138" t="s">
        <v>436</v>
      </c>
      <c r="CR42" s="248"/>
    </row>
    <row r="43" spans="1:96" ht="57.6" x14ac:dyDescent="0.3">
      <c r="A43">
        <v>40</v>
      </c>
      <c r="B43" s="173" t="s">
        <v>437</v>
      </c>
      <c r="C43" s="259"/>
      <c r="D43" s="260"/>
      <c r="E43" t="s">
        <v>191</v>
      </c>
      <c r="F43" t="s">
        <v>438</v>
      </c>
      <c r="G43" s="177" t="s">
        <v>439</v>
      </c>
      <c r="H43" s="177" t="s">
        <v>113</v>
      </c>
      <c r="I43" s="177" t="s">
        <v>109</v>
      </c>
      <c r="J43" s="177" t="s">
        <v>109</v>
      </c>
      <c r="K43" s="177" t="s">
        <v>114</v>
      </c>
      <c r="L43" s="177" t="s">
        <v>432</v>
      </c>
      <c r="M43" s="177" t="s">
        <v>109</v>
      </c>
      <c r="N43" s="177" t="s">
        <v>109</v>
      </c>
      <c r="O43" s="180">
        <v>45768</v>
      </c>
      <c r="P43" s="177" t="s">
        <v>440</v>
      </c>
      <c r="Q43" s="177" t="s">
        <v>109</v>
      </c>
      <c r="R43" s="177" t="s">
        <v>109</v>
      </c>
      <c r="S43" s="177" t="s">
        <v>109</v>
      </c>
      <c r="T43" s="177" t="s">
        <v>116</v>
      </c>
      <c r="U43" s="177" t="s">
        <v>117</v>
      </c>
      <c r="V43" s="177" t="b">
        <v>0</v>
      </c>
      <c r="W43" s="177" t="s">
        <v>109</v>
      </c>
      <c r="X43" s="261"/>
      <c r="Y43" s="177" t="s">
        <v>109</v>
      </c>
      <c r="Z43" s="177" t="s">
        <v>109</v>
      </c>
      <c r="AA43" s="177">
        <v>230</v>
      </c>
      <c r="AB43" s="177" t="s">
        <v>109</v>
      </c>
      <c r="AC43" s="177">
        <v>2.1</v>
      </c>
      <c r="AD43" s="177" t="s">
        <v>441</v>
      </c>
      <c r="AE43" s="177" t="s">
        <v>435</v>
      </c>
      <c r="AF43" s="177">
        <v>1</v>
      </c>
      <c r="AG43" s="177">
        <v>3171</v>
      </c>
      <c r="AH43" s="177" t="s">
        <v>121</v>
      </c>
      <c r="AI43" s="177" t="b">
        <v>1</v>
      </c>
      <c r="AJ43" s="180" t="s">
        <v>442</v>
      </c>
      <c r="AK43" s="177" t="s">
        <v>122</v>
      </c>
      <c r="AL43" s="177" t="s">
        <v>109</v>
      </c>
      <c r="AM43" s="177" t="s">
        <v>109</v>
      </c>
      <c r="AN43" s="177" t="b">
        <v>0</v>
      </c>
      <c r="AO43" s="177" t="s">
        <v>109</v>
      </c>
      <c r="AP43" s="177" t="s">
        <v>109</v>
      </c>
      <c r="AQ43" s="177" t="s">
        <v>109</v>
      </c>
      <c r="AR43" s="177" t="b">
        <v>0</v>
      </c>
      <c r="AS43" s="177" t="s">
        <v>123</v>
      </c>
      <c r="AT43" s="180" t="s">
        <v>123</v>
      </c>
      <c r="AU43" s="177" t="s">
        <v>109</v>
      </c>
      <c r="AV43" s="177" t="s">
        <v>109</v>
      </c>
      <c r="AW43" s="177" t="s">
        <v>118</v>
      </c>
      <c r="AX43" s="177" t="s">
        <v>118</v>
      </c>
      <c r="AY43" s="177" t="s">
        <v>135</v>
      </c>
      <c r="AZ43" s="177" t="s">
        <v>109</v>
      </c>
      <c r="BA43" s="177" t="s">
        <v>218</v>
      </c>
      <c r="BB43" s="177" t="s">
        <v>109</v>
      </c>
      <c r="BC43" s="177" t="s">
        <v>126</v>
      </c>
      <c r="BD43" s="177" t="s">
        <v>109</v>
      </c>
      <c r="BE43" s="180" t="s">
        <v>443</v>
      </c>
      <c r="BF43" s="180" t="s">
        <v>444</v>
      </c>
      <c r="BG43" s="180" t="s">
        <v>445</v>
      </c>
      <c r="BH43" s="177" t="s">
        <v>109</v>
      </c>
      <c r="BI43" s="177" t="s">
        <v>109</v>
      </c>
      <c r="BJ43" s="177" t="b">
        <v>1</v>
      </c>
      <c r="BK43" s="233">
        <v>2114.7965399999998</v>
      </c>
      <c r="BL43" s="234" t="s">
        <v>128</v>
      </c>
      <c r="BM43" s="233">
        <v>1068.9068341019999</v>
      </c>
      <c r="BN43" s="233">
        <v>0</v>
      </c>
      <c r="BO43" s="233">
        <v>0</v>
      </c>
      <c r="BP43" s="233">
        <v>22.4110154</v>
      </c>
      <c r="BQ43" s="233">
        <v>994.69533269999999</v>
      </c>
      <c r="BR43" s="233">
        <v>41.578046000000001</v>
      </c>
      <c r="BS43" s="233">
        <v>10.222440000000001</v>
      </c>
      <c r="BT43" s="233">
        <v>0</v>
      </c>
      <c r="BU43" s="233">
        <v>0</v>
      </c>
      <c r="BV43" s="233">
        <v>0</v>
      </c>
      <c r="BW43" s="233">
        <v>0</v>
      </c>
      <c r="BX43" s="233">
        <v>0</v>
      </c>
      <c r="BY43" s="234">
        <v>0</v>
      </c>
      <c r="BZ43" s="236" t="s">
        <v>109</v>
      </c>
      <c r="CA43" s="236" t="s">
        <v>109</v>
      </c>
      <c r="CB43" s="236" t="s">
        <v>154</v>
      </c>
      <c r="CC43" s="233">
        <v>0</v>
      </c>
      <c r="CD43" s="233">
        <v>0</v>
      </c>
      <c r="CE43" s="233">
        <v>0</v>
      </c>
      <c r="CF43" s="233">
        <v>1017.1063481</v>
      </c>
      <c r="CG43" s="233">
        <v>41.578046000000001</v>
      </c>
      <c r="CH43" s="233">
        <v>10.222440000000001</v>
      </c>
      <c r="CI43" s="233">
        <v>0</v>
      </c>
      <c r="CJ43" s="237">
        <v>0</v>
      </c>
      <c r="CK43" s="177" t="s">
        <v>128</v>
      </c>
      <c r="CL43" s="177" t="s">
        <v>128</v>
      </c>
      <c r="CM43" s="155" t="s">
        <v>109</v>
      </c>
      <c r="CN43" s="229">
        <v>1</v>
      </c>
      <c r="CO43" s="229">
        <v>0</v>
      </c>
      <c r="CP43" s="138" t="s">
        <v>446</v>
      </c>
      <c r="CR43" s="248"/>
    </row>
    <row r="44" spans="1:96" ht="14.4" x14ac:dyDescent="0.3">
      <c r="A44">
        <v>41</v>
      </c>
      <c r="B44" s="173" t="s">
        <v>447</v>
      </c>
      <c r="C44" s="259"/>
      <c r="D44" s="260"/>
      <c r="E44" t="s">
        <v>191</v>
      </c>
      <c r="F44" t="s">
        <v>448</v>
      </c>
      <c r="G44" s="177" t="s">
        <v>439</v>
      </c>
      <c r="H44" s="177" t="s">
        <v>113</v>
      </c>
      <c r="I44" s="177" t="s">
        <v>109</v>
      </c>
      <c r="J44" s="177" t="s">
        <v>109</v>
      </c>
      <c r="K44" s="177" t="s">
        <v>114</v>
      </c>
      <c r="L44" s="177" t="s">
        <v>432</v>
      </c>
      <c r="M44" s="177" t="s">
        <v>109</v>
      </c>
      <c r="N44" s="177" t="s">
        <v>109</v>
      </c>
      <c r="O44" s="180" t="s">
        <v>109</v>
      </c>
      <c r="P44" s="177" t="s">
        <v>109</v>
      </c>
      <c r="Q44" s="177" t="s">
        <v>109</v>
      </c>
      <c r="R44" s="177" t="s">
        <v>109</v>
      </c>
      <c r="S44" s="177" t="s">
        <v>109</v>
      </c>
      <c r="T44" s="177" t="s">
        <v>116</v>
      </c>
      <c r="U44" s="177" t="s">
        <v>117</v>
      </c>
      <c r="V44" s="177" t="b">
        <v>0</v>
      </c>
      <c r="W44" s="177" t="s">
        <v>109</v>
      </c>
      <c r="X44" s="261"/>
      <c r="Y44" s="177" t="s">
        <v>109</v>
      </c>
      <c r="Z44" s="177" t="s">
        <v>109</v>
      </c>
      <c r="AA44" s="177">
        <v>69</v>
      </c>
      <c r="AB44" s="177" t="s">
        <v>434</v>
      </c>
      <c r="AC44" s="177">
        <v>2.1</v>
      </c>
      <c r="AD44" s="177" t="s">
        <v>109</v>
      </c>
      <c r="AE44" s="177" t="s">
        <v>435</v>
      </c>
      <c r="AF44" s="177">
        <v>1</v>
      </c>
      <c r="AG44" s="177">
        <v>3171</v>
      </c>
      <c r="AH44" s="177" t="s">
        <v>121</v>
      </c>
      <c r="AI44" s="177" t="b">
        <v>1</v>
      </c>
      <c r="AJ44" s="180">
        <v>44516</v>
      </c>
      <c r="AK44" s="177" t="s">
        <v>122</v>
      </c>
      <c r="AL44" s="177" t="s">
        <v>109</v>
      </c>
      <c r="AM44" s="177" t="s">
        <v>109</v>
      </c>
      <c r="AN44" s="177" t="b">
        <v>0</v>
      </c>
      <c r="AO44" s="177" t="s">
        <v>109</v>
      </c>
      <c r="AP44" s="177" t="s">
        <v>109</v>
      </c>
      <c r="AQ44" s="177" t="s">
        <v>109</v>
      </c>
      <c r="AR44" s="177" t="b">
        <v>0</v>
      </c>
      <c r="AS44" s="177" t="s">
        <v>123</v>
      </c>
      <c r="AT44" s="180" t="s">
        <v>123</v>
      </c>
      <c r="AU44" s="177" t="s">
        <v>109</v>
      </c>
      <c r="AV44" s="177" t="s">
        <v>109</v>
      </c>
      <c r="AW44" s="177" t="s">
        <v>118</v>
      </c>
      <c r="AX44" s="177" t="s">
        <v>118</v>
      </c>
      <c r="AY44" s="177" t="s">
        <v>135</v>
      </c>
      <c r="AZ44" s="177" t="s">
        <v>109</v>
      </c>
      <c r="BA44" s="177" t="s">
        <v>218</v>
      </c>
      <c r="BB44" s="177" t="s">
        <v>109</v>
      </c>
      <c r="BC44" s="177" t="s">
        <v>126</v>
      </c>
      <c r="BD44" s="177" t="s">
        <v>109</v>
      </c>
      <c r="BE44" s="180" t="s">
        <v>119</v>
      </c>
      <c r="BF44" s="180" t="s">
        <v>119</v>
      </c>
      <c r="BG44" s="180" t="s">
        <v>119</v>
      </c>
      <c r="BH44" s="177" t="s">
        <v>109</v>
      </c>
      <c r="BI44" s="177" t="s">
        <v>109</v>
      </c>
      <c r="BJ44" s="177" t="b">
        <v>0</v>
      </c>
      <c r="BK44" s="233">
        <v>1118.5497800000001</v>
      </c>
      <c r="BL44" s="234" t="s">
        <v>128</v>
      </c>
      <c r="BM44" s="233">
        <v>968.73951463200001</v>
      </c>
      <c r="BN44" s="233">
        <v>0</v>
      </c>
      <c r="BO44" s="233">
        <v>0</v>
      </c>
      <c r="BP44" s="233">
        <v>668.74472349999996</v>
      </c>
      <c r="BQ44" s="233">
        <v>389.95391110000003</v>
      </c>
      <c r="BR44" s="233">
        <v>-89.959119999999999</v>
      </c>
      <c r="BS44" s="233">
        <v>0</v>
      </c>
      <c r="BT44" s="233">
        <v>0</v>
      </c>
      <c r="BU44" s="233">
        <v>0</v>
      </c>
      <c r="BV44" s="233">
        <v>0</v>
      </c>
      <c r="BW44" s="233">
        <v>0</v>
      </c>
      <c r="BX44" s="233">
        <v>0</v>
      </c>
      <c r="BY44" s="234">
        <v>0</v>
      </c>
      <c r="BZ44" s="236" t="s">
        <v>109</v>
      </c>
      <c r="CA44" s="236" t="s">
        <v>109</v>
      </c>
      <c r="CB44" s="236" t="s">
        <v>174</v>
      </c>
      <c r="CC44" s="233">
        <v>0</v>
      </c>
      <c r="CD44" s="233">
        <v>0</v>
      </c>
      <c r="CE44" s="233">
        <v>0</v>
      </c>
      <c r="CF44" s="233">
        <v>1058.6986346000001</v>
      </c>
      <c r="CG44" s="233">
        <v>-89.959119999999999</v>
      </c>
      <c r="CH44" s="233">
        <v>0</v>
      </c>
      <c r="CI44" s="233">
        <v>0</v>
      </c>
      <c r="CJ44" s="237">
        <v>0</v>
      </c>
      <c r="CK44" s="177" t="s">
        <v>128</v>
      </c>
      <c r="CL44" s="177" t="s">
        <v>128</v>
      </c>
      <c r="CM44" s="155" t="s">
        <v>109</v>
      </c>
      <c r="CN44" s="229">
        <v>0</v>
      </c>
      <c r="CO44" s="229">
        <v>1</v>
      </c>
      <c r="CP44" t="s">
        <v>449</v>
      </c>
      <c r="CR44" s="248"/>
    </row>
    <row r="45" spans="1:96" ht="14.4" x14ac:dyDescent="0.3">
      <c r="A45">
        <v>42</v>
      </c>
      <c r="B45" s="173" t="s">
        <v>450</v>
      </c>
      <c r="C45" s="259"/>
      <c r="D45" s="260"/>
      <c r="E45" t="s">
        <v>191</v>
      </c>
      <c r="F45" t="s">
        <v>451</v>
      </c>
      <c r="G45" s="177" t="s">
        <v>439</v>
      </c>
      <c r="H45" s="177" t="s">
        <v>113</v>
      </c>
      <c r="I45" s="177" t="s">
        <v>109</v>
      </c>
      <c r="J45" s="177" t="s">
        <v>109</v>
      </c>
      <c r="K45" s="177" t="s">
        <v>114</v>
      </c>
      <c r="L45" s="177" t="s">
        <v>432</v>
      </c>
      <c r="M45" s="177" t="s">
        <v>109</v>
      </c>
      <c r="N45" s="177" t="s">
        <v>109</v>
      </c>
      <c r="O45" s="180" t="s">
        <v>109</v>
      </c>
      <c r="P45" s="177" t="s">
        <v>109</v>
      </c>
      <c r="Q45" s="177" t="s">
        <v>109</v>
      </c>
      <c r="R45" s="177" t="s">
        <v>109</v>
      </c>
      <c r="S45" s="177" t="s">
        <v>109</v>
      </c>
      <c r="T45" s="177" t="s">
        <v>116</v>
      </c>
      <c r="U45" s="177" t="s">
        <v>117</v>
      </c>
      <c r="V45" s="177" t="b">
        <v>0</v>
      </c>
      <c r="W45" s="177" t="s">
        <v>109</v>
      </c>
      <c r="X45" s="261"/>
      <c r="Y45" s="177" t="s">
        <v>109</v>
      </c>
      <c r="Z45" s="177" t="s">
        <v>109</v>
      </c>
      <c r="AA45" s="177" t="s">
        <v>452</v>
      </c>
      <c r="AB45" s="177" t="s">
        <v>434</v>
      </c>
      <c r="AC45" s="177">
        <v>2.1</v>
      </c>
      <c r="AD45" s="177" t="s">
        <v>109</v>
      </c>
      <c r="AE45" s="177" t="s">
        <v>435</v>
      </c>
      <c r="AF45" s="177">
        <v>1</v>
      </c>
      <c r="AG45" s="177">
        <v>3171</v>
      </c>
      <c r="AH45" s="177" t="s">
        <v>121</v>
      </c>
      <c r="AI45" s="177" t="b">
        <v>1</v>
      </c>
      <c r="AJ45" s="180">
        <v>43596</v>
      </c>
      <c r="AK45" s="177" t="s">
        <v>122</v>
      </c>
      <c r="AL45" s="177" t="s">
        <v>109</v>
      </c>
      <c r="AM45" s="177" t="s">
        <v>109</v>
      </c>
      <c r="AN45" s="177" t="b">
        <v>0</v>
      </c>
      <c r="AO45" s="177" t="s">
        <v>109</v>
      </c>
      <c r="AP45" s="177" t="s">
        <v>109</v>
      </c>
      <c r="AQ45" s="177" t="s">
        <v>109</v>
      </c>
      <c r="AR45" s="177" t="b">
        <v>0</v>
      </c>
      <c r="AS45" s="177" t="s">
        <v>123</v>
      </c>
      <c r="AT45" s="180" t="s">
        <v>123</v>
      </c>
      <c r="AU45" s="177" t="s">
        <v>109</v>
      </c>
      <c r="AV45" s="177" t="s">
        <v>109</v>
      </c>
      <c r="AW45" s="177" t="s">
        <v>118</v>
      </c>
      <c r="AX45" s="177" t="s">
        <v>118</v>
      </c>
      <c r="AY45" s="177" t="s">
        <v>135</v>
      </c>
      <c r="AZ45" s="177" t="s">
        <v>109</v>
      </c>
      <c r="BA45" s="177" t="s">
        <v>218</v>
      </c>
      <c r="BB45" s="177" t="s">
        <v>109</v>
      </c>
      <c r="BC45" s="177" t="s">
        <v>126</v>
      </c>
      <c r="BD45" s="177" t="s">
        <v>109</v>
      </c>
      <c r="BE45" s="180" t="s">
        <v>109</v>
      </c>
      <c r="BF45" s="180" t="s">
        <v>453</v>
      </c>
      <c r="BG45" s="180">
        <v>45596</v>
      </c>
      <c r="BH45" s="177" t="s">
        <v>109</v>
      </c>
      <c r="BI45" s="177" t="s">
        <v>109</v>
      </c>
      <c r="BJ45" s="177" t="b">
        <v>1</v>
      </c>
      <c r="BK45" s="233">
        <v>5626.5931200000005</v>
      </c>
      <c r="BL45" s="234" t="s">
        <v>128</v>
      </c>
      <c r="BM45" s="233">
        <v>3352.6266789589999</v>
      </c>
      <c r="BN45" s="233">
        <v>354.20203229999998</v>
      </c>
      <c r="BO45" s="233">
        <v>659.02432929999998</v>
      </c>
      <c r="BP45" s="233">
        <v>741.06980290000001</v>
      </c>
      <c r="BQ45" s="233">
        <v>441.32288399999999</v>
      </c>
      <c r="BR45" s="233">
        <v>305.24446599999999</v>
      </c>
      <c r="BS45" s="233">
        <v>2.1240399999999999</v>
      </c>
      <c r="BT45" s="233">
        <v>0</v>
      </c>
      <c r="BU45" s="233">
        <v>0</v>
      </c>
      <c r="BV45" s="233">
        <v>0</v>
      </c>
      <c r="BW45" s="233">
        <v>0</v>
      </c>
      <c r="BX45" s="233">
        <v>0</v>
      </c>
      <c r="BY45" s="234">
        <v>0</v>
      </c>
      <c r="BZ45" s="236" t="s">
        <v>109</v>
      </c>
      <c r="CA45" s="236" t="s">
        <v>109</v>
      </c>
      <c r="CB45" s="236" t="s">
        <v>196</v>
      </c>
      <c r="CC45" s="233">
        <v>0</v>
      </c>
      <c r="CD45" s="233">
        <v>0</v>
      </c>
      <c r="CE45" s="233">
        <v>0</v>
      </c>
      <c r="CF45" s="233">
        <v>0</v>
      </c>
      <c r="CG45" s="233">
        <v>3350.5026389999998</v>
      </c>
      <c r="CH45" s="233">
        <v>2.1240399999999999</v>
      </c>
      <c r="CI45" s="233">
        <v>0</v>
      </c>
      <c r="CJ45" s="237">
        <v>0</v>
      </c>
      <c r="CK45" s="177" t="s">
        <v>128</v>
      </c>
      <c r="CL45" s="177" t="s">
        <v>128</v>
      </c>
      <c r="CM45" s="155" t="s">
        <v>109</v>
      </c>
      <c r="CN45" s="229">
        <v>0</v>
      </c>
      <c r="CO45" s="229">
        <v>1</v>
      </c>
      <c r="CP45" t="s">
        <v>449</v>
      </c>
      <c r="CR45" s="248"/>
    </row>
    <row r="46" spans="1:96" ht="14.4" x14ac:dyDescent="0.3">
      <c r="A46">
        <v>43</v>
      </c>
      <c r="B46" s="173" t="s">
        <v>454</v>
      </c>
      <c r="C46" s="259"/>
      <c r="D46" s="260"/>
      <c r="E46" t="s">
        <v>191</v>
      </c>
      <c r="F46" t="s">
        <v>448</v>
      </c>
      <c r="G46" s="177" t="s">
        <v>439</v>
      </c>
      <c r="H46" s="177" t="s">
        <v>113</v>
      </c>
      <c r="I46" s="177" t="s">
        <v>109</v>
      </c>
      <c r="J46" s="177" t="s">
        <v>109</v>
      </c>
      <c r="K46" s="177" t="s">
        <v>114</v>
      </c>
      <c r="L46" s="177" t="s">
        <v>432</v>
      </c>
      <c r="M46" s="177" t="s">
        <v>109</v>
      </c>
      <c r="N46" s="177" t="s">
        <v>109</v>
      </c>
      <c r="O46" s="180" t="s">
        <v>109</v>
      </c>
      <c r="P46" s="177" t="s">
        <v>109</v>
      </c>
      <c r="Q46" s="177" t="s">
        <v>109</v>
      </c>
      <c r="R46" s="177" t="s">
        <v>109</v>
      </c>
      <c r="S46" s="177" t="s">
        <v>109</v>
      </c>
      <c r="T46" s="177" t="s">
        <v>116</v>
      </c>
      <c r="U46" s="177" t="s">
        <v>117</v>
      </c>
      <c r="V46" s="177" t="b">
        <v>0</v>
      </c>
      <c r="W46" s="177" t="s">
        <v>109</v>
      </c>
      <c r="X46" s="261"/>
      <c r="Y46" s="177" t="s">
        <v>109</v>
      </c>
      <c r="Z46" s="177" t="s">
        <v>109</v>
      </c>
      <c r="AA46" s="177">
        <v>69</v>
      </c>
      <c r="AB46" s="177" t="s">
        <v>434</v>
      </c>
      <c r="AC46" s="177">
        <v>2.1</v>
      </c>
      <c r="AD46" s="177" t="s">
        <v>455</v>
      </c>
      <c r="AE46" s="177" t="s">
        <v>435</v>
      </c>
      <c r="AF46" s="177">
        <v>1</v>
      </c>
      <c r="AG46" s="177">
        <v>3171</v>
      </c>
      <c r="AH46" s="177" t="s">
        <v>121</v>
      </c>
      <c r="AI46" s="177" t="b">
        <v>1</v>
      </c>
      <c r="AJ46" s="180">
        <v>43894</v>
      </c>
      <c r="AK46" s="177" t="s">
        <v>122</v>
      </c>
      <c r="AL46" s="177" t="s">
        <v>109</v>
      </c>
      <c r="AM46" s="177" t="s">
        <v>109</v>
      </c>
      <c r="AN46" s="177" t="b">
        <v>0</v>
      </c>
      <c r="AO46" s="177" t="s">
        <v>109</v>
      </c>
      <c r="AP46" s="177" t="s">
        <v>109</v>
      </c>
      <c r="AQ46" s="177" t="s">
        <v>109</v>
      </c>
      <c r="AR46" s="177" t="b">
        <v>0</v>
      </c>
      <c r="AS46" s="177" t="s">
        <v>123</v>
      </c>
      <c r="AT46" s="180" t="s">
        <v>123</v>
      </c>
      <c r="AU46" s="177" t="s">
        <v>109</v>
      </c>
      <c r="AV46" s="177" t="s">
        <v>109</v>
      </c>
      <c r="AW46" s="177" t="s">
        <v>118</v>
      </c>
      <c r="AX46" s="177" t="s">
        <v>118</v>
      </c>
      <c r="AY46" s="177" t="s">
        <v>135</v>
      </c>
      <c r="AZ46" s="177" t="s">
        <v>109</v>
      </c>
      <c r="BA46" s="177" t="s">
        <v>218</v>
      </c>
      <c r="BB46" s="177" t="s">
        <v>109</v>
      </c>
      <c r="BC46" s="177" t="s">
        <v>126</v>
      </c>
      <c r="BD46" s="177" t="s">
        <v>109</v>
      </c>
      <c r="BE46" s="180" t="s">
        <v>456</v>
      </c>
      <c r="BF46" s="180" t="s">
        <v>457</v>
      </c>
      <c r="BG46" s="180" t="s">
        <v>458</v>
      </c>
      <c r="BH46" s="177" t="s">
        <v>459</v>
      </c>
      <c r="BI46" s="177" t="s">
        <v>109</v>
      </c>
      <c r="BJ46" s="177" t="b">
        <v>0</v>
      </c>
      <c r="BK46" s="233">
        <v>685.31899999999996</v>
      </c>
      <c r="BL46" s="234" t="s">
        <v>128</v>
      </c>
      <c r="BM46" s="233">
        <v>5057.106725572</v>
      </c>
      <c r="BN46" s="233">
        <v>1244.8199821000001</v>
      </c>
      <c r="BO46" s="233">
        <v>2370.1924872999998</v>
      </c>
      <c r="BP46" s="233">
        <v>178.7026012</v>
      </c>
      <c r="BQ46" s="233">
        <v>-6.2042000000000002</v>
      </c>
      <c r="BR46" s="233">
        <v>1.7899999999999999E-3</v>
      </c>
      <c r="BS46" s="233">
        <v>0</v>
      </c>
      <c r="BT46" s="233">
        <v>0</v>
      </c>
      <c r="BU46" s="233">
        <v>0</v>
      </c>
      <c r="BV46" s="233">
        <v>0</v>
      </c>
      <c r="BW46" s="233">
        <v>0</v>
      </c>
      <c r="BX46" s="233">
        <v>0</v>
      </c>
      <c r="BY46" s="234">
        <v>0</v>
      </c>
      <c r="BZ46" s="236" t="s">
        <v>109</v>
      </c>
      <c r="CA46" s="236" t="s">
        <v>109</v>
      </c>
      <c r="CB46" s="236" t="s">
        <v>460</v>
      </c>
      <c r="CC46" s="233">
        <v>0</v>
      </c>
      <c r="CD46" s="233">
        <v>0.36638789999999999</v>
      </c>
      <c r="CE46" s="233">
        <v>5062.9427476999999</v>
      </c>
      <c r="CF46" s="233">
        <v>-6.2042000000000002</v>
      </c>
      <c r="CG46" s="233">
        <v>1.7899999999999999E-3</v>
      </c>
      <c r="CH46" s="233">
        <v>0</v>
      </c>
      <c r="CI46" s="233">
        <v>0</v>
      </c>
      <c r="CJ46" s="237">
        <v>0</v>
      </c>
      <c r="CK46" s="177" t="s">
        <v>128</v>
      </c>
      <c r="CL46" s="177" t="s">
        <v>128</v>
      </c>
      <c r="CM46" s="155" t="s">
        <v>109</v>
      </c>
      <c r="CN46" s="229">
        <v>0</v>
      </c>
      <c r="CO46" s="229">
        <v>1</v>
      </c>
      <c r="CP46" t="s">
        <v>461</v>
      </c>
      <c r="CR46" s="248"/>
    </row>
    <row r="47" spans="1:96" ht="100.8" x14ac:dyDescent="0.3">
      <c r="A47">
        <v>44</v>
      </c>
      <c r="B47" s="173" t="s">
        <v>462</v>
      </c>
      <c r="C47" s="259"/>
      <c r="D47" s="260"/>
      <c r="E47" t="s">
        <v>191</v>
      </c>
      <c r="F47" t="s">
        <v>463</v>
      </c>
      <c r="G47" s="177" t="s">
        <v>439</v>
      </c>
      <c r="H47" s="177" t="s">
        <v>113</v>
      </c>
      <c r="I47" s="177" t="s">
        <v>109</v>
      </c>
      <c r="J47" s="177" t="s">
        <v>109</v>
      </c>
      <c r="K47" s="177" t="s">
        <v>114</v>
      </c>
      <c r="L47" s="177" t="s">
        <v>432</v>
      </c>
      <c r="M47" s="177" t="s">
        <v>109</v>
      </c>
      <c r="N47" s="177" t="s">
        <v>109</v>
      </c>
      <c r="O47" s="180">
        <v>45755</v>
      </c>
      <c r="P47" s="177" t="s">
        <v>109</v>
      </c>
      <c r="Q47" s="177" t="s">
        <v>109</v>
      </c>
      <c r="R47" s="177" t="s">
        <v>109</v>
      </c>
      <c r="S47" s="177" t="s">
        <v>109</v>
      </c>
      <c r="T47" s="177" t="s">
        <v>116</v>
      </c>
      <c r="U47" s="177" t="s">
        <v>117</v>
      </c>
      <c r="V47" s="177" t="b">
        <v>0</v>
      </c>
      <c r="W47" s="177" t="s">
        <v>109</v>
      </c>
      <c r="X47" s="261"/>
      <c r="Y47" s="177" t="s">
        <v>109</v>
      </c>
      <c r="Z47" s="177" t="s">
        <v>109</v>
      </c>
      <c r="AA47" s="177">
        <v>69</v>
      </c>
      <c r="AB47" s="177" t="s">
        <v>434</v>
      </c>
      <c r="AC47" s="177">
        <v>2.1</v>
      </c>
      <c r="AD47" s="177" t="s">
        <v>119</v>
      </c>
      <c r="AE47" s="177" t="s">
        <v>435</v>
      </c>
      <c r="AF47" s="177">
        <v>1</v>
      </c>
      <c r="AG47" s="177">
        <v>3171</v>
      </c>
      <c r="AH47" s="177" t="s">
        <v>121</v>
      </c>
      <c r="AI47" s="177" t="b">
        <v>1</v>
      </c>
      <c r="AJ47" s="180">
        <v>44050</v>
      </c>
      <c r="AK47" s="177" t="s">
        <v>122</v>
      </c>
      <c r="AL47" s="177" t="s">
        <v>109</v>
      </c>
      <c r="AM47" s="177" t="s">
        <v>109</v>
      </c>
      <c r="AN47" s="177" t="b">
        <v>0</v>
      </c>
      <c r="AO47" s="177" t="s">
        <v>109</v>
      </c>
      <c r="AP47" s="177" t="s">
        <v>109</v>
      </c>
      <c r="AQ47" s="177" t="s">
        <v>109</v>
      </c>
      <c r="AR47" s="177" t="b">
        <v>0</v>
      </c>
      <c r="AS47" s="177" t="s">
        <v>123</v>
      </c>
      <c r="AT47" s="180" t="s">
        <v>123</v>
      </c>
      <c r="AU47" s="177" t="s">
        <v>109</v>
      </c>
      <c r="AV47" s="177" t="s">
        <v>109</v>
      </c>
      <c r="AW47" s="177" t="s">
        <v>118</v>
      </c>
      <c r="AX47" s="177" t="s">
        <v>118</v>
      </c>
      <c r="AY47" s="177" t="s">
        <v>135</v>
      </c>
      <c r="AZ47" s="177" t="s">
        <v>109</v>
      </c>
      <c r="BA47" s="177" t="s">
        <v>218</v>
      </c>
      <c r="BB47" s="177" t="s">
        <v>109</v>
      </c>
      <c r="BC47" s="177" t="s">
        <v>126</v>
      </c>
      <c r="BD47" s="177" t="s">
        <v>109</v>
      </c>
      <c r="BE47" s="180" t="s">
        <v>464</v>
      </c>
      <c r="BF47" s="180" t="s">
        <v>453</v>
      </c>
      <c r="BG47" s="180">
        <v>44803</v>
      </c>
      <c r="BH47" s="177" t="s">
        <v>109</v>
      </c>
      <c r="BI47" s="177" t="s">
        <v>109</v>
      </c>
      <c r="BJ47" s="177" t="b">
        <v>1</v>
      </c>
      <c r="BK47" s="233">
        <v>4466.8942100000004</v>
      </c>
      <c r="BL47" s="234" t="s">
        <v>128</v>
      </c>
      <c r="BM47" s="233">
        <v>3099.0356417058501</v>
      </c>
      <c r="BN47" s="233">
        <v>1.0147299999999999</v>
      </c>
      <c r="BO47" s="233">
        <v>930.74996999999996</v>
      </c>
      <c r="BP47" s="233">
        <v>1331.2284993999999</v>
      </c>
      <c r="BQ47" s="233">
        <v>597.45101099999999</v>
      </c>
      <c r="BR47" s="233">
        <v>210.540212</v>
      </c>
      <c r="BS47" s="233">
        <v>15.96874</v>
      </c>
      <c r="BT47" s="233">
        <v>12.0824792</v>
      </c>
      <c r="BU47" s="233">
        <v>0</v>
      </c>
      <c r="BV47" s="233">
        <v>0</v>
      </c>
      <c r="BW47" s="233">
        <v>0</v>
      </c>
      <c r="BX47" s="233">
        <v>0</v>
      </c>
      <c r="BY47" s="234">
        <v>0</v>
      </c>
      <c r="BZ47" s="236" t="s">
        <v>109</v>
      </c>
      <c r="CA47" s="236" t="s">
        <v>109</v>
      </c>
      <c r="CB47" s="236" t="s">
        <v>139</v>
      </c>
      <c r="CC47" s="233">
        <v>0</v>
      </c>
      <c r="CD47" s="233">
        <v>0</v>
      </c>
      <c r="CE47" s="233">
        <v>2262.9931993999999</v>
      </c>
      <c r="CF47" s="233">
        <v>597.45101099999999</v>
      </c>
      <c r="CG47" s="233">
        <v>210.540212</v>
      </c>
      <c r="CH47" s="233">
        <v>15.96874</v>
      </c>
      <c r="CI47" s="233">
        <v>12.0824792</v>
      </c>
      <c r="CJ47" s="237">
        <v>0</v>
      </c>
      <c r="CK47" s="177" t="s">
        <v>128</v>
      </c>
      <c r="CL47" s="177" t="s">
        <v>128</v>
      </c>
      <c r="CM47" s="155" t="s">
        <v>109</v>
      </c>
      <c r="CN47" s="229">
        <v>0</v>
      </c>
      <c r="CO47" s="229">
        <v>1</v>
      </c>
      <c r="CP47" s="138" t="s">
        <v>465</v>
      </c>
      <c r="CR47" s="248"/>
    </row>
    <row r="48" spans="1:96" ht="14.4" x14ac:dyDescent="0.3">
      <c r="A48">
        <v>45</v>
      </c>
      <c r="B48" s="173" t="s">
        <v>466</v>
      </c>
      <c r="C48" s="259"/>
      <c r="D48" s="260"/>
      <c r="E48" t="s">
        <v>329</v>
      </c>
      <c r="F48" t="s">
        <v>467</v>
      </c>
      <c r="G48" s="177" t="s">
        <v>439</v>
      </c>
      <c r="H48" s="177" t="s">
        <v>113</v>
      </c>
      <c r="I48" s="177" t="s">
        <v>109</v>
      </c>
      <c r="J48" s="177" t="s">
        <v>109</v>
      </c>
      <c r="K48" s="177" t="s">
        <v>114</v>
      </c>
      <c r="L48" s="177" t="s">
        <v>432</v>
      </c>
      <c r="M48" s="177" t="s">
        <v>109</v>
      </c>
      <c r="N48" s="177" t="s">
        <v>109</v>
      </c>
      <c r="O48" s="180">
        <v>45777</v>
      </c>
      <c r="P48" s="177" t="s">
        <v>109</v>
      </c>
      <c r="Q48" s="177" t="s">
        <v>109</v>
      </c>
      <c r="R48" s="177" t="s">
        <v>109</v>
      </c>
      <c r="S48" s="177" t="s">
        <v>109</v>
      </c>
      <c r="T48" s="177" t="s">
        <v>116</v>
      </c>
      <c r="U48" s="177" t="s">
        <v>117</v>
      </c>
      <c r="V48" s="177" t="b">
        <v>0</v>
      </c>
      <c r="W48" s="177" t="s">
        <v>109</v>
      </c>
      <c r="X48" s="261"/>
      <c r="Y48" s="177" t="s">
        <v>109</v>
      </c>
      <c r="Z48" s="176">
        <v>1.83</v>
      </c>
      <c r="AA48" s="177">
        <v>69</v>
      </c>
      <c r="AB48" s="177" t="s">
        <v>109</v>
      </c>
      <c r="AC48" s="177">
        <v>2.1</v>
      </c>
      <c r="AD48" s="177" t="s">
        <v>109</v>
      </c>
      <c r="AE48" s="177" t="s">
        <v>435</v>
      </c>
      <c r="AF48" s="177">
        <v>1</v>
      </c>
      <c r="AG48" s="177">
        <v>3171</v>
      </c>
      <c r="AH48" s="177" t="s">
        <v>121</v>
      </c>
      <c r="AI48" s="177" t="b">
        <v>1</v>
      </c>
      <c r="AJ48" s="180">
        <v>42293</v>
      </c>
      <c r="AK48" s="177" t="s">
        <v>122</v>
      </c>
      <c r="AL48" s="177" t="s">
        <v>109</v>
      </c>
      <c r="AM48" s="177" t="s">
        <v>109</v>
      </c>
      <c r="AN48" s="177" t="b">
        <v>0</v>
      </c>
      <c r="AO48" s="177" t="s">
        <v>109</v>
      </c>
      <c r="AP48" s="177" t="s">
        <v>109</v>
      </c>
      <c r="AQ48" s="177" t="s">
        <v>109</v>
      </c>
      <c r="AR48" s="177" t="b">
        <v>0</v>
      </c>
      <c r="AS48" s="177" t="s">
        <v>123</v>
      </c>
      <c r="AT48" s="180" t="s">
        <v>123</v>
      </c>
      <c r="AU48" s="177" t="s">
        <v>109</v>
      </c>
      <c r="AV48" s="177" t="s">
        <v>109</v>
      </c>
      <c r="AW48" s="177" t="s">
        <v>118</v>
      </c>
      <c r="AX48" s="177" t="s">
        <v>118</v>
      </c>
      <c r="AY48" s="177" t="s">
        <v>135</v>
      </c>
      <c r="AZ48" s="177" t="s">
        <v>109</v>
      </c>
      <c r="BA48" s="177" t="s">
        <v>218</v>
      </c>
      <c r="BB48" s="177" t="s">
        <v>109</v>
      </c>
      <c r="BC48" s="177" t="s">
        <v>126</v>
      </c>
      <c r="BD48" s="177" t="s">
        <v>109</v>
      </c>
      <c r="BE48" s="180" t="s">
        <v>109</v>
      </c>
      <c r="BF48" s="180" t="s">
        <v>468</v>
      </c>
      <c r="BG48" s="180">
        <v>44711</v>
      </c>
      <c r="BH48" s="177" t="s">
        <v>109</v>
      </c>
      <c r="BI48" s="177" t="s">
        <v>109</v>
      </c>
      <c r="BJ48" s="177" t="b">
        <v>0</v>
      </c>
      <c r="BK48" s="233">
        <v>200</v>
      </c>
      <c r="BL48" s="234" t="s">
        <v>128</v>
      </c>
      <c r="BM48" s="233">
        <v>1893.8837409820001</v>
      </c>
      <c r="BN48" s="233">
        <v>269.58699919999998</v>
      </c>
      <c r="BO48" s="233">
        <v>741.54540459999998</v>
      </c>
      <c r="BP48" s="233">
        <v>287.38844999999998</v>
      </c>
      <c r="BQ48" s="233">
        <v>4.9655300000000002</v>
      </c>
      <c r="BR48" s="233">
        <v>0</v>
      </c>
      <c r="BS48" s="233">
        <v>0</v>
      </c>
      <c r="BT48" s="233">
        <v>0</v>
      </c>
      <c r="BU48" s="233">
        <v>0</v>
      </c>
      <c r="BV48" s="233">
        <v>0</v>
      </c>
      <c r="BW48" s="233">
        <v>0</v>
      </c>
      <c r="BX48" s="233">
        <v>0</v>
      </c>
      <c r="BY48" s="234">
        <v>0</v>
      </c>
      <c r="BZ48" s="236" t="s">
        <v>109</v>
      </c>
      <c r="CA48" s="236" t="s">
        <v>109</v>
      </c>
      <c r="CB48" s="236" t="s">
        <v>469</v>
      </c>
      <c r="CC48" s="233">
        <v>0</v>
      </c>
      <c r="CD48" s="233">
        <v>-17.618479000000001</v>
      </c>
      <c r="CE48" s="233">
        <v>1906.5366899999999</v>
      </c>
      <c r="CF48" s="233">
        <v>4.9655300000000002</v>
      </c>
      <c r="CG48" s="233">
        <v>0</v>
      </c>
      <c r="CH48" s="233">
        <v>0</v>
      </c>
      <c r="CI48" s="233">
        <v>0</v>
      </c>
      <c r="CJ48" s="237">
        <v>0</v>
      </c>
      <c r="CK48" s="177" t="s">
        <v>128</v>
      </c>
      <c r="CL48" s="177" t="s">
        <v>128</v>
      </c>
      <c r="CM48" s="155" t="s">
        <v>109</v>
      </c>
      <c r="CN48" s="229">
        <v>0</v>
      </c>
      <c r="CO48" s="229">
        <v>1</v>
      </c>
      <c r="CP48" t="s">
        <v>470</v>
      </c>
      <c r="CR48" s="248"/>
    </row>
    <row r="49" spans="1:96" ht="14.4" x14ac:dyDescent="0.3">
      <c r="A49">
        <v>46</v>
      </c>
      <c r="B49" s="173" t="s">
        <v>471</v>
      </c>
      <c r="C49" s="259"/>
      <c r="D49" s="260"/>
      <c r="E49" t="s">
        <v>329</v>
      </c>
      <c r="F49" t="s">
        <v>472</v>
      </c>
      <c r="G49" s="177" t="s">
        <v>439</v>
      </c>
      <c r="H49" s="177" t="s">
        <v>113</v>
      </c>
      <c r="I49" s="177" t="s">
        <v>109</v>
      </c>
      <c r="J49" s="177" t="s">
        <v>109</v>
      </c>
      <c r="K49" s="177" t="s">
        <v>114</v>
      </c>
      <c r="L49" s="177" t="s">
        <v>432</v>
      </c>
      <c r="M49" s="177" t="s">
        <v>109</v>
      </c>
      <c r="N49" s="177" t="s">
        <v>109</v>
      </c>
      <c r="O49" s="180">
        <v>45792</v>
      </c>
      <c r="P49" s="177" t="s">
        <v>473</v>
      </c>
      <c r="Q49" s="177" t="s">
        <v>109</v>
      </c>
      <c r="R49" s="177" t="s">
        <v>109</v>
      </c>
      <c r="S49" s="177" t="s">
        <v>109</v>
      </c>
      <c r="T49" s="177" t="s">
        <v>116</v>
      </c>
      <c r="U49" s="177" t="s">
        <v>117</v>
      </c>
      <c r="V49" s="177" t="b">
        <v>0</v>
      </c>
      <c r="W49" s="177" t="s">
        <v>109</v>
      </c>
      <c r="X49" s="261"/>
      <c r="Y49" s="177" t="s">
        <v>109</v>
      </c>
      <c r="Z49" s="177" t="s">
        <v>474</v>
      </c>
      <c r="AA49" s="177">
        <v>69</v>
      </c>
      <c r="AB49" s="177" t="s">
        <v>434</v>
      </c>
      <c r="AC49" s="177">
        <v>2.1</v>
      </c>
      <c r="AD49" s="177" t="s">
        <v>475</v>
      </c>
      <c r="AE49" s="177" t="s">
        <v>435</v>
      </c>
      <c r="AF49" s="177">
        <v>1</v>
      </c>
      <c r="AG49" s="177">
        <v>3171</v>
      </c>
      <c r="AH49" s="177" t="s">
        <v>121</v>
      </c>
      <c r="AI49" s="177" t="b">
        <v>1</v>
      </c>
      <c r="AJ49" s="180" t="s">
        <v>476</v>
      </c>
      <c r="AK49" s="177" t="s">
        <v>122</v>
      </c>
      <c r="AL49" s="177" t="s">
        <v>109</v>
      </c>
      <c r="AM49" s="177" t="s">
        <v>109</v>
      </c>
      <c r="AN49" s="177" t="b">
        <v>0</v>
      </c>
      <c r="AO49" s="177" t="s">
        <v>109</v>
      </c>
      <c r="AP49" s="177" t="s">
        <v>109</v>
      </c>
      <c r="AQ49" s="177" t="s">
        <v>109</v>
      </c>
      <c r="AR49" s="177" t="b">
        <v>0</v>
      </c>
      <c r="AS49" s="177" t="s">
        <v>123</v>
      </c>
      <c r="AT49" s="180" t="s">
        <v>123</v>
      </c>
      <c r="AU49" s="177" t="s">
        <v>109</v>
      </c>
      <c r="AV49" s="177" t="s">
        <v>109</v>
      </c>
      <c r="AW49" s="177" t="s">
        <v>118</v>
      </c>
      <c r="AX49" s="177" t="s">
        <v>118</v>
      </c>
      <c r="AY49" s="177" t="s">
        <v>135</v>
      </c>
      <c r="AZ49" s="177" t="s">
        <v>109</v>
      </c>
      <c r="BA49" s="177" t="s">
        <v>218</v>
      </c>
      <c r="BB49" s="177" t="s">
        <v>109</v>
      </c>
      <c r="BC49" s="177" t="s">
        <v>126</v>
      </c>
      <c r="BD49" s="177" t="s">
        <v>109</v>
      </c>
      <c r="BE49" s="180" t="s">
        <v>477</v>
      </c>
      <c r="BF49" s="180" t="s">
        <v>173</v>
      </c>
      <c r="BG49" s="180" t="s">
        <v>478</v>
      </c>
      <c r="BH49" s="177" t="s">
        <v>459</v>
      </c>
      <c r="BI49" s="177" t="s">
        <v>109</v>
      </c>
      <c r="BJ49" s="177" t="b">
        <v>1</v>
      </c>
      <c r="BK49" s="233">
        <v>10428.117910000001</v>
      </c>
      <c r="BL49" s="234" t="s">
        <v>128</v>
      </c>
      <c r="BM49" s="233">
        <v>11911.133303774999</v>
      </c>
      <c r="BN49" s="233">
        <v>1912.5109648</v>
      </c>
      <c r="BO49" s="233">
        <v>1207.5322236</v>
      </c>
      <c r="BP49" s="233">
        <v>4046.0330702000001</v>
      </c>
      <c r="BQ49" s="233">
        <v>1806.6637800000001</v>
      </c>
      <c r="BR49" s="233">
        <v>1679.0852199999999</v>
      </c>
      <c r="BS49" s="233">
        <v>244.28064000000001</v>
      </c>
      <c r="BT49" s="233">
        <v>0</v>
      </c>
      <c r="BU49" s="233">
        <v>0</v>
      </c>
      <c r="BV49" s="233">
        <v>0</v>
      </c>
      <c r="BW49" s="233">
        <v>0</v>
      </c>
      <c r="BX49" s="233">
        <v>0</v>
      </c>
      <c r="BY49" s="234">
        <v>0</v>
      </c>
      <c r="BZ49" s="236" t="s">
        <v>109</v>
      </c>
      <c r="CA49" s="236" t="s">
        <v>109</v>
      </c>
      <c r="CB49" s="236" t="s">
        <v>479</v>
      </c>
      <c r="CC49" s="233">
        <v>0</v>
      </c>
      <c r="CD49" s="233">
        <v>1.2304535999999999</v>
      </c>
      <c r="CE49" s="233">
        <v>-0.25874979999999997</v>
      </c>
      <c r="CF49" s="233">
        <v>0</v>
      </c>
      <c r="CG49" s="233">
        <v>3352.0871099999999</v>
      </c>
      <c r="CH49" s="233">
        <v>8558.0744900000009</v>
      </c>
      <c r="CI49" s="233">
        <v>0</v>
      </c>
      <c r="CJ49" s="237">
        <v>0</v>
      </c>
      <c r="CK49" s="177" t="s">
        <v>128</v>
      </c>
      <c r="CL49" s="177" t="s">
        <v>128</v>
      </c>
      <c r="CM49" s="155" t="s">
        <v>109</v>
      </c>
      <c r="CN49" s="229">
        <v>0</v>
      </c>
      <c r="CO49" s="229">
        <v>1</v>
      </c>
      <c r="CP49" t="s">
        <v>480</v>
      </c>
      <c r="CR49" s="248"/>
    </row>
    <row r="50" spans="1:96" ht="14.4" x14ac:dyDescent="0.3">
      <c r="A50">
        <v>47</v>
      </c>
      <c r="B50" s="173" t="s">
        <v>482</v>
      </c>
      <c r="C50" s="259"/>
      <c r="D50" s="260"/>
      <c r="E50" t="s">
        <v>483</v>
      </c>
      <c r="F50" t="s">
        <v>484</v>
      </c>
      <c r="G50" s="177" t="s">
        <v>111</v>
      </c>
      <c r="H50" s="177" t="s">
        <v>112</v>
      </c>
      <c r="I50" s="177" t="s">
        <v>109</v>
      </c>
      <c r="J50" s="177" t="s">
        <v>109</v>
      </c>
      <c r="K50" s="177" t="s">
        <v>485</v>
      </c>
      <c r="L50" s="177" t="s">
        <v>486</v>
      </c>
      <c r="M50" s="177" t="s">
        <v>194</v>
      </c>
      <c r="N50" s="177" t="s">
        <v>109</v>
      </c>
      <c r="O50" s="180">
        <v>45736</v>
      </c>
      <c r="P50" s="177" t="s">
        <v>109</v>
      </c>
      <c r="Q50" s="177" t="s">
        <v>109</v>
      </c>
      <c r="R50" s="177" t="s">
        <v>109</v>
      </c>
      <c r="S50" s="177" t="s">
        <v>109</v>
      </c>
      <c r="T50" s="177" t="s">
        <v>116</v>
      </c>
      <c r="U50" s="177" t="s">
        <v>117</v>
      </c>
      <c r="V50" s="177" t="b">
        <v>0</v>
      </c>
      <c r="W50" s="177" t="s">
        <v>487</v>
      </c>
      <c r="X50" s="261"/>
      <c r="Y50" s="177" t="s">
        <v>118</v>
      </c>
      <c r="Z50" s="177">
        <v>1.0083819999999999</v>
      </c>
      <c r="AA50" s="177">
        <v>69</v>
      </c>
      <c r="AB50" s="177" t="s">
        <v>373</v>
      </c>
      <c r="AC50" s="177">
        <v>4.2</v>
      </c>
      <c r="AD50" s="177" t="s">
        <v>488</v>
      </c>
      <c r="AE50" s="177" t="s">
        <v>489</v>
      </c>
      <c r="AF50" s="177">
        <v>1</v>
      </c>
      <c r="AG50" s="177">
        <v>5253</v>
      </c>
      <c r="AH50" s="177" t="s">
        <v>121</v>
      </c>
      <c r="AI50" s="177" t="b">
        <v>1</v>
      </c>
      <c r="AJ50" s="180">
        <v>44371</v>
      </c>
      <c r="AK50" s="177" t="s">
        <v>122</v>
      </c>
      <c r="AL50" s="177">
        <v>2010</v>
      </c>
      <c r="AM50" s="177" t="s">
        <v>109</v>
      </c>
      <c r="AN50" s="179" t="b">
        <v>0</v>
      </c>
      <c r="AO50" s="177" t="s">
        <v>109</v>
      </c>
      <c r="AP50" s="177" t="s">
        <v>109</v>
      </c>
      <c r="AQ50" s="177" t="s">
        <v>109</v>
      </c>
      <c r="AR50" s="177" t="b">
        <v>0</v>
      </c>
      <c r="AS50" s="177" t="s">
        <v>490</v>
      </c>
      <c r="AT50" s="180">
        <v>43010</v>
      </c>
      <c r="AU50" s="177" t="s">
        <v>491</v>
      </c>
      <c r="AV50" s="177" t="s">
        <v>109</v>
      </c>
      <c r="AW50" s="177" t="s">
        <v>226</v>
      </c>
      <c r="AX50" s="177" t="s">
        <v>118</v>
      </c>
      <c r="AY50" s="177" t="s">
        <v>492</v>
      </c>
      <c r="AZ50" s="177" t="s">
        <v>493</v>
      </c>
      <c r="BA50" s="177" t="s">
        <v>494</v>
      </c>
      <c r="BB50" s="177">
        <v>2017</v>
      </c>
      <c r="BC50" s="177" t="s">
        <v>126</v>
      </c>
      <c r="BD50" s="177" t="s">
        <v>109</v>
      </c>
      <c r="BE50" s="180" t="s">
        <v>495</v>
      </c>
      <c r="BF50" s="180" t="s">
        <v>109</v>
      </c>
      <c r="BG50" s="180" t="s">
        <v>496</v>
      </c>
      <c r="BH50" s="177" t="s">
        <v>497</v>
      </c>
      <c r="BI50" s="177" t="s">
        <v>109</v>
      </c>
      <c r="BJ50" s="177" t="b">
        <v>0</v>
      </c>
      <c r="BK50" s="233">
        <v>24115</v>
      </c>
      <c r="BL50" s="234" t="s">
        <v>128</v>
      </c>
      <c r="BM50" s="233">
        <v>29085.255496022</v>
      </c>
      <c r="BN50" s="233">
        <v>309.11359090000002</v>
      </c>
      <c r="BO50" s="233">
        <v>4.6688358000000001</v>
      </c>
      <c r="BP50" s="233">
        <v>0</v>
      </c>
      <c r="BQ50" s="233">
        <v>0</v>
      </c>
      <c r="BR50" s="233">
        <v>0</v>
      </c>
      <c r="BS50" s="233">
        <v>0</v>
      </c>
      <c r="BT50" s="233">
        <v>0</v>
      </c>
      <c r="BU50" s="233">
        <v>0</v>
      </c>
      <c r="BV50" s="233">
        <v>0</v>
      </c>
      <c r="BW50" s="233">
        <v>0</v>
      </c>
      <c r="BX50" s="233">
        <v>0</v>
      </c>
      <c r="BY50" s="234">
        <v>0</v>
      </c>
      <c r="BZ50" s="236" t="s">
        <v>109</v>
      </c>
      <c r="CA50" s="236" t="s">
        <v>109</v>
      </c>
      <c r="CB50" s="236" t="s">
        <v>189</v>
      </c>
      <c r="CC50" s="233">
        <v>309.11359090000002</v>
      </c>
      <c r="CD50" s="233">
        <v>4.6688358000000001</v>
      </c>
      <c r="CE50" s="233">
        <v>0</v>
      </c>
      <c r="CF50" s="233">
        <v>0</v>
      </c>
      <c r="CG50" s="233">
        <v>0</v>
      </c>
      <c r="CH50" s="233">
        <v>0</v>
      </c>
      <c r="CI50" s="233">
        <v>0</v>
      </c>
      <c r="CJ50" s="237">
        <v>0</v>
      </c>
      <c r="CK50" s="177" t="s">
        <v>128</v>
      </c>
      <c r="CL50" s="177" t="s">
        <v>128</v>
      </c>
      <c r="CM50" s="155" t="s">
        <v>109</v>
      </c>
      <c r="CN50" s="229">
        <v>0</v>
      </c>
      <c r="CO50" s="229">
        <v>1</v>
      </c>
      <c r="CP50" t="s">
        <v>498</v>
      </c>
      <c r="CR50" s="248"/>
    </row>
    <row r="51" spans="1:96" ht="14.4" x14ac:dyDescent="0.3">
      <c r="A51">
        <v>48</v>
      </c>
      <c r="B51" s="173" t="s">
        <v>500</v>
      </c>
      <c r="C51" s="259"/>
      <c r="D51" s="260"/>
      <c r="E51" t="s">
        <v>501</v>
      </c>
      <c r="F51" t="s">
        <v>502</v>
      </c>
      <c r="G51" s="177" t="s">
        <v>503</v>
      </c>
      <c r="H51" s="177" t="s">
        <v>113</v>
      </c>
      <c r="I51" s="177" t="s">
        <v>112</v>
      </c>
      <c r="J51" s="177" t="s">
        <v>109</v>
      </c>
      <c r="K51" s="177" t="s">
        <v>485</v>
      </c>
      <c r="L51" s="177" t="s">
        <v>504</v>
      </c>
      <c r="M51" s="177" t="s">
        <v>505</v>
      </c>
      <c r="N51" s="177" t="s">
        <v>109</v>
      </c>
      <c r="O51" s="180" t="s">
        <v>506</v>
      </c>
      <c r="P51" s="177" t="s">
        <v>507</v>
      </c>
      <c r="Q51" s="177" t="s">
        <v>508</v>
      </c>
      <c r="R51" s="177" t="s">
        <v>509</v>
      </c>
      <c r="S51" s="177" t="s">
        <v>240</v>
      </c>
      <c r="T51" s="177" t="s">
        <v>404</v>
      </c>
      <c r="U51" s="177" t="s">
        <v>117</v>
      </c>
      <c r="V51" s="177" t="b">
        <v>0</v>
      </c>
      <c r="W51" s="177" t="s">
        <v>510</v>
      </c>
      <c r="X51" s="261"/>
      <c r="Y51" s="177">
        <v>9.1338589999999993</v>
      </c>
      <c r="Z51" s="177">
        <v>6</v>
      </c>
      <c r="AA51" s="177">
        <v>230</v>
      </c>
      <c r="AB51" s="177" t="s">
        <v>201</v>
      </c>
      <c r="AC51" s="177">
        <v>2.1</v>
      </c>
      <c r="AD51" s="177" t="s">
        <v>511</v>
      </c>
      <c r="AE51" s="177" t="s">
        <v>512</v>
      </c>
      <c r="AF51" s="177">
        <v>1</v>
      </c>
      <c r="AG51" s="177">
        <v>6129</v>
      </c>
      <c r="AH51" s="177" t="s">
        <v>121</v>
      </c>
      <c r="AI51" s="177" t="b">
        <v>0</v>
      </c>
      <c r="AJ51" s="180" t="s">
        <v>109</v>
      </c>
      <c r="AK51" s="177" t="s">
        <v>122</v>
      </c>
      <c r="AL51" s="177">
        <v>2006</v>
      </c>
      <c r="AM51" s="177">
        <v>2011</v>
      </c>
      <c r="AN51" s="177" t="b">
        <v>0</v>
      </c>
      <c r="AO51" s="177" t="s">
        <v>513</v>
      </c>
      <c r="AP51" s="177" t="s">
        <v>109</v>
      </c>
      <c r="AQ51" s="177" t="s">
        <v>514</v>
      </c>
      <c r="AR51" s="177" t="b">
        <v>0</v>
      </c>
      <c r="AS51" s="177" t="s">
        <v>490</v>
      </c>
      <c r="AT51" s="180">
        <v>42485</v>
      </c>
      <c r="AU51" s="177" t="s">
        <v>515</v>
      </c>
      <c r="AV51" s="177" t="s">
        <v>109</v>
      </c>
      <c r="AW51" s="177" t="s">
        <v>226</v>
      </c>
      <c r="AX51" s="177" t="s">
        <v>118</v>
      </c>
      <c r="AY51" s="177" t="s">
        <v>516</v>
      </c>
      <c r="AZ51" s="177" t="s">
        <v>517</v>
      </c>
      <c r="BA51" s="177" t="s">
        <v>494</v>
      </c>
      <c r="BB51" s="177">
        <v>2016</v>
      </c>
      <c r="BC51" s="177" t="s">
        <v>322</v>
      </c>
      <c r="BD51" s="177" t="s">
        <v>109</v>
      </c>
      <c r="BE51" s="180" t="s">
        <v>518</v>
      </c>
      <c r="BF51" s="180" t="s">
        <v>519</v>
      </c>
      <c r="BG51" s="180" t="s">
        <v>520</v>
      </c>
      <c r="BH51" s="177" t="s">
        <v>521</v>
      </c>
      <c r="BI51" s="177" t="s">
        <v>521</v>
      </c>
      <c r="BJ51" s="177" t="b">
        <v>1</v>
      </c>
      <c r="BK51" s="233">
        <v>363363</v>
      </c>
      <c r="BL51" s="234" t="s">
        <v>522</v>
      </c>
      <c r="BM51" s="254">
        <v>364808.34399999998</v>
      </c>
      <c r="BN51" s="254">
        <v>91113.575736000013</v>
      </c>
      <c r="BO51" s="254">
        <v>46910.723243799985</v>
      </c>
      <c r="BP51" s="254">
        <v>29821.737260399997</v>
      </c>
      <c r="BQ51" s="254">
        <v>39636.033149700001</v>
      </c>
      <c r="BR51" s="254">
        <v>15518.888705999998</v>
      </c>
      <c r="BS51" s="254">
        <v>797.90421399999991</v>
      </c>
      <c r="BT51" s="254">
        <v>3992.7129598000001</v>
      </c>
      <c r="BU51" s="254">
        <v>0</v>
      </c>
      <c r="BV51" s="254">
        <v>0</v>
      </c>
      <c r="BW51" s="254">
        <v>0</v>
      </c>
      <c r="BX51" s="254">
        <v>0</v>
      </c>
      <c r="BY51" s="255">
        <v>0</v>
      </c>
      <c r="BZ51" s="236" t="s">
        <v>109</v>
      </c>
      <c r="CA51" s="236" t="s">
        <v>109</v>
      </c>
      <c r="CB51" s="236" t="s">
        <v>129</v>
      </c>
      <c r="CC51" s="254">
        <v>67202.398055399986</v>
      </c>
      <c r="CD51" s="254">
        <v>132700.27800630001</v>
      </c>
      <c r="CE51" s="254">
        <v>5577.5855905999997</v>
      </c>
      <c r="CF51" s="254">
        <v>129956.0518817</v>
      </c>
      <c r="CG51" s="254">
        <v>15600.867505999999</v>
      </c>
      <c r="CH51" s="254">
        <v>797.90421399999991</v>
      </c>
      <c r="CI51" s="254">
        <v>3992.7129598000001</v>
      </c>
      <c r="CJ51" s="237">
        <v>0</v>
      </c>
      <c r="CK51" s="177" t="s">
        <v>128</v>
      </c>
      <c r="CL51" s="177">
        <v>10.6</v>
      </c>
      <c r="CM51" s="155" t="s">
        <v>109</v>
      </c>
      <c r="CN51" s="229">
        <v>1</v>
      </c>
      <c r="CO51" s="229">
        <v>0</v>
      </c>
      <c r="CP51" t="s">
        <v>523</v>
      </c>
      <c r="CR51" s="248"/>
    </row>
    <row r="52" spans="1:96" ht="14.4" x14ac:dyDescent="0.3">
      <c r="A52">
        <v>49</v>
      </c>
      <c r="B52" s="173" t="s">
        <v>524</v>
      </c>
      <c r="C52" s="259"/>
      <c r="D52" s="260"/>
      <c r="E52" t="s">
        <v>109</v>
      </c>
      <c r="F52" t="s">
        <v>525</v>
      </c>
      <c r="G52" s="177" t="s">
        <v>111</v>
      </c>
      <c r="H52" s="177" t="s">
        <v>146</v>
      </c>
      <c r="I52" s="177" t="s">
        <v>109</v>
      </c>
      <c r="J52" s="177" t="s">
        <v>109</v>
      </c>
      <c r="K52" s="177" t="s">
        <v>114</v>
      </c>
      <c r="L52" s="177" t="s">
        <v>115</v>
      </c>
      <c r="M52" s="177" t="s">
        <v>505</v>
      </c>
      <c r="N52" s="177" t="s">
        <v>109</v>
      </c>
      <c r="O52" s="180" t="s">
        <v>109</v>
      </c>
      <c r="P52" s="177" t="s">
        <v>109</v>
      </c>
      <c r="Q52" s="177" t="s">
        <v>109</v>
      </c>
      <c r="R52" s="177" t="s">
        <v>109</v>
      </c>
      <c r="S52" s="177" t="s">
        <v>109</v>
      </c>
      <c r="T52" s="177" t="s">
        <v>116</v>
      </c>
      <c r="U52" s="177" t="s">
        <v>117</v>
      </c>
      <c r="V52" s="177" t="b">
        <v>0</v>
      </c>
      <c r="W52" s="177" t="s">
        <v>109</v>
      </c>
      <c r="X52" s="261"/>
      <c r="Y52" s="177" t="s">
        <v>118</v>
      </c>
      <c r="Z52" s="177" t="s">
        <v>118</v>
      </c>
      <c r="AA52" s="177" t="s">
        <v>119</v>
      </c>
      <c r="AB52" s="177" t="s">
        <v>526</v>
      </c>
      <c r="AC52" s="177">
        <v>4.0999999999999996</v>
      </c>
      <c r="AD52" s="177" t="s">
        <v>119</v>
      </c>
      <c r="AE52" s="177" t="s">
        <v>527</v>
      </c>
      <c r="AF52" s="177">
        <v>32</v>
      </c>
      <c r="AG52" s="177">
        <v>6254</v>
      </c>
      <c r="AH52" s="177" t="s">
        <v>121</v>
      </c>
      <c r="AI52" s="177" t="b">
        <v>1</v>
      </c>
      <c r="AJ52" s="180">
        <v>45642</v>
      </c>
      <c r="AK52" s="177" t="s">
        <v>122</v>
      </c>
      <c r="AL52" s="177" t="s">
        <v>109</v>
      </c>
      <c r="AM52" s="177" t="s">
        <v>109</v>
      </c>
      <c r="AN52" s="177" t="b">
        <v>0</v>
      </c>
      <c r="AO52" s="177" t="s">
        <v>109</v>
      </c>
      <c r="AP52" s="177" t="s">
        <v>109</v>
      </c>
      <c r="AQ52" s="177" t="s">
        <v>118</v>
      </c>
      <c r="AR52" s="177" t="b">
        <v>0</v>
      </c>
      <c r="AS52" s="177" t="s">
        <v>123</v>
      </c>
      <c r="AT52" s="180" t="s">
        <v>123</v>
      </c>
      <c r="AU52" s="177" t="s">
        <v>124</v>
      </c>
      <c r="AV52" s="177" t="s">
        <v>109</v>
      </c>
      <c r="AW52" s="177" t="s">
        <v>118</v>
      </c>
      <c r="AX52" s="177" t="s">
        <v>118</v>
      </c>
      <c r="AY52" s="177" t="s">
        <v>109</v>
      </c>
      <c r="AZ52" s="177" t="s">
        <v>109</v>
      </c>
      <c r="BA52" s="177" t="s">
        <v>125</v>
      </c>
      <c r="BB52" s="177" t="s">
        <v>109</v>
      </c>
      <c r="BC52" s="177" t="s">
        <v>126</v>
      </c>
      <c r="BD52" s="177" t="s">
        <v>109</v>
      </c>
      <c r="BE52" s="180" t="s">
        <v>109</v>
      </c>
      <c r="BF52" s="180" t="s">
        <v>127</v>
      </c>
      <c r="BG52" s="180" t="s">
        <v>119</v>
      </c>
      <c r="BH52" s="177" t="s">
        <v>109</v>
      </c>
      <c r="BI52" s="177" t="s">
        <v>109</v>
      </c>
      <c r="BJ52" s="177" t="b">
        <v>0</v>
      </c>
      <c r="BK52" s="233" t="s">
        <v>118</v>
      </c>
      <c r="BL52" s="234" t="s">
        <v>128</v>
      </c>
      <c r="BM52" s="233">
        <f>32606.399018089-BM53</f>
        <v>31578.599493383808</v>
      </c>
      <c r="BN52" s="235">
        <f>296.37668-BN53</f>
        <v>296.37668000000002</v>
      </c>
      <c r="BO52" s="235">
        <f>994.45837-BO53</f>
        <v>994.45836999999995</v>
      </c>
      <c r="BP52" s="235">
        <f>280.29734-BP53</f>
        <v>280.29734000000002</v>
      </c>
      <c r="BQ52" s="235">
        <f>320.1574-BQ53</f>
        <v>319.76166000000001</v>
      </c>
      <c r="BR52" s="235">
        <f>1069.79852-BR53</f>
        <v>264.9001300000001</v>
      </c>
      <c r="BS52" s="235">
        <f>221.55409-BS53</f>
        <v>0</v>
      </c>
      <c r="BT52" s="235">
        <f>885.861045-BT53</f>
        <v>884.90974029999995</v>
      </c>
      <c r="BU52" s="235">
        <f>956.927458-BU53</f>
        <v>956.927458</v>
      </c>
      <c r="BV52" s="235">
        <f>563.5924764-BV53</f>
        <v>563.59247640000001</v>
      </c>
      <c r="BW52" s="235">
        <f>575.6040006-BW53</f>
        <v>575.60400059999995</v>
      </c>
      <c r="BX52" s="235">
        <f>584.756064-BX53</f>
        <v>584.75606400000004</v>
      </c>
      <c r="BY52" s="234">
        <v>0</v>
      </c>
      <c r="BZ52" s="236" t="s">
        <v>109</v>
      </c>
      <c r="CA52" s="236" t="s">
        <v>109</v>
      </c>
      <c r="CB52" s="236" t="s">
        <v>528</v>
      </c>
      <c r="CC52" s="235">
        <f>521.16629-CC53</f>
        <v>521.16629</v>
      </c>
      <c r="CD52" s="235">
        <f>1171.51068-CD53</f>
        <v>1171.5106800000001</v>
      </c>
      <c r="CE52" s="235">
        <f>333.78744-CE53</f>
        <v>333.78744</v>
      </c>
      <c r="CF52" s="235">
        <f>266.44943-CF53</f>
        <v>266.44943000000001</v>
      </c>
      <c r="CG52" s="235">
        <f>318.21236-CG53</f>
        <v>318.21235999999999</v>
      </c>
      <c r="CH52" s="235">
        <f>0-CH53</f>
        <v>0</v>
      </c>
      <c r="CI52" s="235">
        <f>1027.7995247-CI53</f>
        <v>0</v>
      </c>
      <c r="CJ52" s="237">
        <v>0</v>
      </c>
      <c r="CK52" s="177" t="s">
        <v>128</v>
      </c>
      <c r="CL52" s="177">
        <v>3.7</v>
      </c>
      <c r="CM52" s="155" t="s">
        <v>109</v>
      </c>
      <c r="CN52" s="229">
        <v>0</v>
      </c>
      <c r="CO52" s="229">
        <v>1</v>
      </c>
      <c r="CP52" t="s">
        <v>155</v>
      </c>
      <c r="CR52" s="248"/>
    </row>
    <row r="53" spans="1:96" ht="14.4" x14ac:dyDescent="0.3">
      <c r="A53">
        <v>50</v>
      </c>
      <c r="B53" s="173" t="s">
        <v>529</v>
      </c>
      <c r="C53" s="259"/>
      <c r="D53" s="260"/>
      <c r="E53" t="s">
        <v>421</v>
      </c>
      <c r="F53" t="s">
        <v>530</v>
      </c>
      <c r="G53" s="177" t="s">
        <v>111</v>
      </c>
      <c r="H53" s="177" t="s">
        <v>112</v>
      </c>
      <c r="I53" s="177" t="s">
        <v>112</v>
      </c>
      <c r="J53" s="177" t="s">
        <v>109</v>
      </c>
      <c r="K53" s="177" t="s">
        <v>192</v>
      </c>
      <c r="L53" s="177" t="s">
        <v>193</v>
      </c>
      <c r="M53" s="177" t="s">
        <v>194</v>
      </c>
      <c r="N53" s="177" t="s">
        <v>194</v>
      </c>
      <c r="O53" s="180">
        <v>45768</v>
      </c>
      <c r="P53" s="177" t="s">
        <v>109</v>
      </c>
      <c r="Q53" s="177" t="s">
        <v>109</v>
      </c>
      <c r="R53" s="177" t="s">
        <v>109</v>
      </c>
      <c r="S53" s="177" t="s">
        <v>109</v>
      </c>
      <c r="T53" s="177" t="s">
        <v>116</v>
      </c>
      <c r="U53" s="177" t="s">
        <v>117</v>
      </c>
      <c r="V53" s="177" t="s">
        <v>531</v>
      </c>
      <c r="W53" s="177" t="s">
        <v>109</v>
      </c>
      <c r="X53" s="261"/>
      <c r="Y53" s="177" t="s">
        <v>118</v>
      </c>
      <c r="Z53" s="176">
        <v>4.66</v>
      </c>
      <c r="AA53" s="177" t="s">
        <v>532</v>
      </c>
      <c r="AB53" s="177" t="s">
        <v>533</v>
      </c>
      <c r="AC53" s="177">
        <v>4.0999999999999996</v>
      </c>
      <c r="AD53" s="177" t="s">
        <v>109</v>
      </c>
      <c r="AE53" s="177" t="s">
        <v>527</v>
      </c>
      <c r="AF53" s="177">
        <v>1</v>
      </c>
      <c r="AG53" s="177">
        <v>6254</v>
      </c>
      <c r="AH53" s="177" t="s">
        <v>121</v>
      </c>
      <c r="AI53" s="177" t="b">
        <v>1</v>
      </c>
      <c r="AJ53" s="180">
        <v>44992</v>
      </c>
      <c r="AK53" s="177" t="s">
        <v>122</v>
      </c>
      <c r="AL53" s="177" t="s">
        <v>109</v>
      </c>
      <c r="AM53" s="177" t="s">
        <v>109</v>
      </c>
      <c r="AN53" s="179" t="b">
        <v>0</v>
      </c>
      <c r="AO53" s="177" t="s">
        <v>109</v>
      </c>
      <c r="AP53" s="177" t="s">
        <v>109</v>
      </c>
      <c r="AQ53" s="177" t="s">
        <v>109</v>
      </c>
      <c r="AR53" s="177" t="b">
        <v>0</v>
      </c>
      <c r="AS53" s="177" t="s">
        <v>123</v>
      </c>
      <c r="AT53" s="180" t="s">
        <v>109</v>
      </c>
      <c r="AU53" s="177" t="s">
        <v>124</v>
      </c>
      <c r="AV53" s="177" t="s">
        <v>109</v>
      </c>
      <c r="AW53" s="177" t="s">
        <v>195</v>
      </c>
      <c r="AX53" s="177" t="s">
        <v>109</v>
      </c>
      <c r="AY53" s="177" t="s">
        <v>109</v>
      </c>
      <c r="AZ53" s="177" t="s">
        <v>109</v>
      </c>
      <c r="BA53" s="177" t="s">
        <v>125</v>
      </c>
      <c r="BB53" s="177" t="s">
        <v>109</v>
      </c>
      <c r="BC53" s="177" t="s">
        <v>126</v>
      </c>
      <c r="BD53" s="177" t="s">
        <v>109</v>
      </c>
      <c r="BE53" s="180">
        <v>44992</v>
      </c>
      <c r="BF53" s="180" t="s">
        <v>109</v>
      </c>
      <c r="BG53" s="180">
        <v>45761</v>
      </c>
      <c r="BH53" s="177" t="s">
        <v>534</v>
      </c>
      <c r="BI53" s="177" t="s">
        <v>534</v>
      </c>
      <c r="BJ53" s="177" t="b">
        <v>1</v>
      </c>
      <c r="BK53" s="233">
        <v>512.71726000000001</v>
      </c>
      <c r="BL53" s="234" t="s">
        <v>128</v>
      </c>
      <c r="BM53" s="236">
        <v>1027.7995247051899</v>
      </c>
      <c r="BN53" s="236">
        <v>0</v>
      </c>
      <c r="BO53" s="236">
        <v>0</v>
      </c>
      <c r="BP53" s="236">
        <v>0</v>
      </c>
      <c r="BQ53" s="236">
        <v>0.39573999999999998</v>
      </c>
      <c r="BR53" s="236">
        <v>804.89838999999995</v>
      </c>
      <c r="BS53" s="236">
        <v>221.55409</v>
      </c>
      <c r="BT53" s="236">
        <v>0.951304700000008</v>
      </c>
      <c r="BU53" s="236">
        <v>0</v>
      </c>
      <c r="BV53" s="236">
        <v>0</v>
      </c>
      <c r="BW53" s="236">
        <v>0</v>
      </c>
      <c r="BX53" s="236">
        <v>0</v>
      </c>
      <c r="BY53" s="234">
        <v>1027.7995247051899</v>
      </c>
      <c r="BZ53" s="236" t="s">
        <v>109</v>
      </c>
      <c r="CA53" s="236" t="s">
        <v>109</v>
      </c>
      <c r="CB53" s="236">
        <v>2025</v>
      </c>
      <c r="CC53" s="236">
        <v>0</v>
      </c>
      <c r="CD53" s="236">
        <v>0</v>
      </c>
      <c r="CE53" s="236">
        <v>0</v>
      </c>
      <c r="CF53" s="236">
        <v>0</v>
      </c>
      <c r="CG53" s="236">
        <v>0</v>
      </c>
      <c r="CH53" s="236">
        <v>0</v>
      </c>
      <c r="CI53" s="236">
        <v>1027.7995246999999</v>
      </c>
      <c r="CJ53" s="237">
        <v>0</v>
      </c>
      <c r="CK53" s="177" t="s">
        <v>128</v>
      </c>
      <c r="CL53" s="177" t="s">
        <v>128</v>
      </c>
      <c r="CM53" s="155" t="s">
        <v>109</v>
      </c>
      <c r="CN53" s="229">
        <v>0</v>
      </c>
      <c r="CO53" s="229">
        <v>1</v>
      </c>
      <c r="CP53" t="s">
        <v>202</v>
      </c>
      <c r="CR53" s="248"/>
    </row>
    <row r="54" spans="1:96" ht="14.4" x14ac:dyDescent="0.3">
      <c r="A54">
        <v>51</v>
      </c>
      <c r="B54" s="173" t="s">
        <v>536</v>
      </c>
      <c r="C54" s="259"/>
      <c r="D54" s="260"/>
      <c r="E54" t="s">
        <v>109</v>
      </c>
      <c r="F54" t="s">
        <v>537</v>
      </c>
      <c r="G54" s="177" t="s">
        <v>233</v>
      </c>
      <c r="H54" s="177" t="s">
        <v>112</v>
      </c>
      <c r="I54" s="177" t="s">
        <v>109</v>
      </c>
      <c r="J54" s="177" t="s">
        <v>109</v>
      </c>
      <c r="K54" s="177" t="s">
        <v>114</v>
      </c>
      <c r="L54" s="177" t="s">
        <v>207</v>
      </c>
      <c r="M54" s="177" t="s">
        <v>109</v>
      </c>
      <c r="N54" s="177" t="s">
        <v>109</v>
      </c>
      <c r="O54" s="180" t="s">
        <v>109</v>
      </c>
      <c r="P54" s="177" t="s">
        <v>109</v>
      </c>
      <c r="Q54" s="177" t="s">
        <v>109</v>
      </c>
      <c r="R54" s="177" t="s">
        <v>109</v>
      </c>
      <c r="S54" s="177" t="s">
        <v>109</v>
      </c>
      <c r="T54" s="177" t="s">
        <v>116</v>
      </c>
      <c r="U54" s="177" t="s">
        <v>117</v>
      </c>
      <c r="V54" s="177" t="b">
        <v>0</v>
      </c>
      <c r="W54" s="177" t="s">
        <v>109</v>
      </c>
      <c r="X54" s="261"/>
      <c r="Y54" s="177" t="s">
        <v>118</v>
      </c>
      <c r="Z54" s="177" t="s">
        <v>118</v>
      </c>
      <c r="AA54" s="177" t="s">
        <v>119</v>
      </c>
      <c r="AB54" s="177" t="s">
        <v>109</v>
      </c>
      <c r="AC54" s="177">
        <v>4.3</v>
      </c>
      <c r="AD54" s="177" t="s">
        <v>119</v>
      </c>
      <c r="AE54" s="177" t="s">
        <v>538</v>
      </c>
      <c r="AF54" s="177">
        <v>195</v>
      </c>
      <c r="AG54" s="177">
        <v>7144</v>
      </c>
      <c r="AH54" s="177" t="s">
        <v>121</v>
      </c>
      <c r="AI54" s="177" t="b">
        <v>1</v>
      </c>
      <c r="AJ54" s="180">
        <v>45642</v>
      </c>
      <c r="AK54" s="177" t="s">
        <v>122</v>
      </c>
      <c r="AL54" s="177" t="s">
        <v>109</v>
      </c>
      <c r="AM54" s="177" t="s">
        <v>109</v>
      </c>
      <c r="AN54" s="177" t="b">
        <v>0</v>
      </c>
      <c r="AO54" s="177" t="s">
        <v>109</v>
      </c>
      <c r="AP54" s="177" t="s">
        <v>109</v>
      </c>
      <c r="AQ54" s="177" t="s">
        <v>118</v>
      </c>
      <c r="AR54" s="177" t="b">
        <v>0</v>
      </c>
      <c r="AS54" s="177" t="s">
        <v>123</v>
      </c>
      <c r="AT54" s="180" t="s">
        <v>123</v>
      </c>
      <c r="AU54" s="177" t="s">
        <v>124</v>
      </c>
      <c r="AV54" s="177" t="s">
        <v>539</v>
      </c>
      <c r="AW54" s="177" t="s">
        <v>118</v>
      </c>
      <c r="AX54" s="177" t="s">
        <v>118</v>
      </c>
      <c r="AY54" s="177" t="s">
        <v>109</v>
      </c>
      <c r="AZ54" s="177" t="s">
        <v>109</v>
      </c>
      <c r="BA54" s="177" t="s">
        <v>109</v>
      </c>
      <c r="BB54" s="177" t="s">
        <v>109</v>
      </c>
      <c r="BC54" s="177" t="s">
        <v>126</v>
      </c>
      <c r="BD54" s="177" t="s">
        <v>109</v>
      </c>
      <c r="BE54" s="180" t="s">
        <v>109</v>
      </c>
      <c r="BF54" s="180" t="s">
        <v>540</v>
      </c>
      <c r="BG54" s="180" t="s">
        <v>119</v>
      </c>
      <c r="BH54" s="177" t="s">
        <v>109</v>
      </c>
      <c r="BI54" s="177" t="s">
        <v>109</v>
      </c>
      <c r="BJ54" s="177" t="b">
        <v>1</v>
      </c>
      <c r="BK54" s="233" t="s">
        <v>118</v>
      </c>
      <c r="BL54" s="234" t="s">
        <v>128</v>
      </c>
      <c r="BM54" s="233">
        <f>221180.02133494-SUM(BM55:BM72)</f>
        <v>184913.18883541023</v>
      </c>
      <c r="BN54" s="233">
        <f>4787.4705162-SUM(BN55:BN72)</f>
        <v>1668.1107811000006</v>
      </c>
      <c r="BO54" s="233">
        <f>5439.6029593-SUM(BO55:BO72)</f>
        <v>924.62462810000034</v>
      </c>
      <c r="BP54" s="233">
        <f>4031.9312807-SUM(BP55:BP72)</f>
        <v>836.81560739999986</v>
      </c>
      <c r="BQ54" s="233">
        <f>4533.9067772-SUM(BQ55:BQ72)</f>
        <v>2686.0092503999995</v>
      </c>
      <c r="BR54" s="233">
        <f>20314.39514-SUM(BR55:BR72)</f>
        <v>5702.2690700000021</v>
      </c>
      <c r="BS54" s="233">
        <f>3272.303824-SUM(BS55:BS72)</f>
        <v>1941.2131499999998</v>
      </c>
      <c r="BT54" s="233">
        <f>9569.20268100001-SUM(BT55:BT72)</f>
        <v>8451.3382660000098</v>
      </c>
      <c r="BU54" s="233">
        <f>14821.1420984-SUM(BU55:BU72)</f>
        <v>14139.568175799999</v>
      </c>
      <c r="BV54" s="233">
        <f>14820.1596747-SUM(BV55:BV72)</f>
        <v>14389.816616</v>
      </c>
      <c r="BW54" s="233">
        <f>15759.2316377-SUM(BW55:BW72)</f>
        <v>15632.8231158</v>
      </c>
      <c r="BX54" s="233">
        <f>15027.6137473-SUM(BX55:BX72)</f>
        <v>15027.6137473</v>
      </c>
      <c r="BY54" s="234">
        <v>9937.0951699999969</v>
      </c>
      <c r="BZ54" s="236" t="s">
        <v>109</v>
      </c>
      <c r="CA54" s="236" t="s">
        <v>109</v>
      </c>
      <c r="CB54" s="236" t="s">
        <v>129</v>
      </c>
      <c r="CC54" s="233">
        <f>6576.3687788-SUM(CC55:CC72)</f>
        <v>2028.5001729999994</v>
      </c>
      <c r="CD54" s="233">
        <f>1818.2504878-SUM(CD55:CD72)</f>
        <v>830.1666017</v>
      </c>
      <c r="CE54" s="233">
        <f>5045.4595279-SUM(CE55:CE72)</f>
        <v>309.77971679999973</v>
      </c>
      <c r="CF54" s="233">
        <f>2296.1207597-SUM(CF55:CF72)</f>
        <v>1786.8450008999998</v>
      </c>
      <c r="CG54" s="233">
        <f>1930.6339072-SUM(CG55:CG72)</f>
        <v>1370.6532812</v>
      </c>
      <c r="CH54" s="233">
        <f>928.36219-SUM(CH55:CH72)</f>
        <v>495.81281000000007</v>
      </c>
      <c r="CI54" s="233">
        <f>5569.5156095-SUM(CI55:CI72)</f>
        <v>2592.9238148000004</v>
      </c>
      <c r="CJ54" s="237">
        <v>0</v>
      </c>
      <c r="CK54" s="177" t="s">
        <v>128</v>
      </c>
      <c r="CL54" s="177">
        <v>6.3</v>
      </c>
      <c r="CM54" s="155" t="s">
        <v>109</v>
      </c>
      <c r="CN54" s="229">
        <v>0.13550000000000001</v>
      </c>
      <c r="CO54" s="229">
        <v>0.86450000000000005</v>
      </c>
      <c r="CP54" t="s">
        <v>155</v>
      </c>
      <c r="CR54" s="248"/>
    </row>
    <row r="55" spans="1:96" ht="14.4" x14ac:dyDescent="0.3">
      <c r="A55">
        <v>52</v>
      </c>
      <c r="B55" s="173" t="s">
        <v>541</v>
      </c>
      <c r="C55" s="259"/>
      <c r="D55" s="260"/>
      <c r="E55" t="s">
        <v>542</v>
      </c>
      <c r="F55" t="s">
        <v>543</v>
      </c>
      <c r="G55" s="177" t="s">
        <v>233</v>
      </c>
      <c r="H55" s="177" t="s">
        <v>112</v>
      </c>
      <c r="I55" s="177" t="s">
        <v>112</v>
      </c>
      <c r="J55" s="177" t="s">
        <v>109</v>
      </c>
      <c r="K55" s="177" t="s">
        <v>114</v>
      </c>
      <c r="L55" s="177" t="s">
        <v>207</v>
      </c>
      <c r="M55" s="177" t="s">
        <v>109</v>
      </c>
      <c r="N55" s="177" t="s">
        <v>109</v>
      </c>
      <c r="O55" s="180">
        <v>45685</v>
      </c>
      <c r="P55" s="177" t="s">
        <v>109</v>
      </c>
      <c r="Q55" s="177" t="s">
        <v>109</v>
      </c>
      <c r="R55" s="177" t="s">
        <v>109</v>
      </c>
      <c r="S55" s="177" t="s">
        <v>109</v>
      </c>
      <c r="T55" s="177" t="s">
        <v>116</v>
      </c>
      <c r="U55" s="177" t="s">
        <v>117</v>
      </c>
      <c r="V55" s="177" t="b">
        <v>0</v>
      </c>
      <c r="W55" s="177" t="s">
        <v>109</v>
      </c>
      <c r="X55" s="261"/>
      <c r="Y55" s="177">
        <v>8.0500000000000007</v>
      </c>
      <c r="Z55" s="177" t="s">
        <v>109</v>
      </c>
      <c r="AA55" s="177" t="s">
        <v>109</v>
      </c>
      <c r="AB55" s="177" t="s">
        <v>109</v>
      </c>
      <c r="AC55" s="177">
        <v>4.3</v>
      </c>
      <c r="AD55" s="177" t="s">
        <v>544</v>
      </c>
      <c r="AE55" s="177" t="s">
        <v>538</v>
      </c>
      <c r="AF55" s="177">
        <v>1</v>
      </c>
      <c r="AG55" s="177">
        <v>7144</v>
      </c>
      <c r="AH55" s="177" t="s">
        <v>121</v>
      </c>
      <c r="AI55" s="177" t="b">
        <v>1</v>
      </c>
      <c r="AJ55" s="180" t="s">
        <v>545</v>
      </c>
      <c r="AK55" s="177" t="s">
        <v>122</v>
      </c>
      <c r="AL55" s="177" t="s">
        <v>109</v>
      </c>
      <c r="AM55" s="177" t="s">
        <v>109</v>
      </c>
      <c r="AN55" s="177" t="b">
        <v>0</v>
      </c>
      <c r="AO55" s="177" t="s">
        <v>109</v>
      </c>
      <c r="AP55" s="177" t="s">
        <v>109</v>
      </c>
      <c r="AQ55" s="177" t="s">
        <v>109</v>
      </c>
      <c r="AR55" s="177" t="b">
        <v>0</v>
      </c>
      <c r="AS55" s="177" t="s">
        <v>123</v>
      </c>
      <c r="AT55" s="180" t="s">
        <v>123</v>
      </c>
      <c r="AU55" s="177" t="s">
        <v>124</v>
      </c>
      <c r="AV55" s="177" t="s">
        <v>109</v>
      </c>
      <c r="AW55" s="177" t="s">
        <v>109</v>
      </c>
      <c r="AX55" s="177" t="s">
        <v>109</v>
      </c>
      <c r="AY55" s="177" t="s">
        <v>135</v>
      </c>
      <c r="AZ55" s="177" t="s">
        <v>109</v>
      </c>
      <c r="BA55" s="177" t="s">
        <v>125</v>
      </c>
      <c r="BB55" s="177" t="s">
        <v>109</v>
      </c>
      <c r="BC55" s="177" t="s">
        <v>546</v>
      </c>
      <c r="BD55" s="177" t="s">
        <v>109</v>
      </c>
      <c r="BE55" s="180" t="s">
        <v>547</v>
      </c>
      <c r="BF55" s="180" t="s">
        <v>548</v>
      </c>
      <c r="BG55" s="180" t="s">
        <v>549</v>
      </c>
      <c r="BH55" s="177" t="s">
        <v>109</v>
      </c>
      <c r="BI55" s="177" t="s">
        <v>109</v>
      </c>
      <c r="BJ55" s="177" t="b">
        <v>0</v>
      </c>
      <c r="BK55" s="233">
        <v>6204.8080799999998</v>
      </c>
      <c r="BL55" s="234" t="s">
        <v>128</v>
      </c>
      <c r="BM55" s="233">
        <v>2762.9850422432801</v>
      </c>
      <c r="BN55" s="233">
        <v>82.354731299999997</v>
      </c>
      <c r="BO55" s="233">
        <v>96.4412047</v>
      </c>
      <c r="BP55" s="233">
        <v>352.82426120000002</v>
      </c>
      <c r="BQ55" s="233">
        <v>215.2307303</v>
      </c>
      <c r="BR55" s="233">
        <v>1747.7446520000001</v>
      </c>
      <c r="BS55" s="233">
        <v>203.252644</v>
      </c>
      <c r="BT55" s="233">
        <v>17.522544400000001</v>
      </c>
      <c r="BU55" s="233">
        <v>23.658706299999999</v>
      </c>
      <c r="BV55" s="233">
        <v>13.9585212</v>
      </c>
      <c r="BW55" s="233">
        <v>0</v>
      </c>
      <c r="BX55" s="233">
        <v>0</v>
      </c>
      <c r="BY55" s="234">
        <v>2707.8452703432799</v>
      </c>
      <c r="BZ55" s="236" t="s">
        <v>109</v>
      </c>
      <c r="CA55" s="236" t="s">
        <v>109</v>
      </c>
      <c r="CB55" s="236" t="s">
        <v>109</v>
      </c>
      <c r="CC55" s="233">
        <v>0</v>
      </c>
      <c r="CD55" s="233">
        <v>0</v>
      </c>
      <c r="CE55" s="233">
        <v>0</v>
      </c>
      <c r="CF55" s="233">
        <v>0</v>
      </c>
      <c r="CG55" s="233">
        <v>0</v>
      </c>
      <c r="CH55" s="233">
        <v>0</v>
      </c>
      <c r="CI55" s="233">
        <v>0</v>
      </c>
      <c r="CJ55" s="237">
        <v>0</v>
      </c>
      <c r="CK55" s="177" t="s">
        <v>128</v>
      </c>
      <c r="CL55" s="177" t="s">
        <v>128</v>
      </c>
      <c r="CM55" s="155" t="s">
        <v>109</v>
      </c>
      <c r="CN55" s="229">
        <v>0</v>
      </c>
      <c r="CO55" s="229">
        <v>0</v>
      </c>
      <c r="CP55" t="s">
        <v>550</v>
      </c>
      <c r="CR55" s="248"/>
    </row>
    <row r="56" spans="1:96" ht="115.2" x14ac:dyDescent="0.3">
      <c r="A56">
        <v>53</v>
      </c>
      <c r="B56" s="173" t="s">
        <v>551</v>
      </c>
      <c r="C56" s="259"/>
      <c r="D56" s="260"/>
      <c r="E56" t="s">
        <v>552</v>
      </c>
      <c r="F56" t="s">
        <v>553</v>
      </c>
      <c r="G56" s="177" t="s">
        <v>233</v>
      </c>
      <c r="H56" s="177" t="s">
        <v>112</v>
      </c>
      <c r="I56" s="177" t="s">
        <v>112</v>
      </c>
      <c r="J56" s="177" t="s">
        <v>109</v>
      </c>
      <c r="K56" s="177" t="s">
        <v>114</v>
      </c>
      <c r="L56" s="177" t="s">
        <v>207</v>
      </c>
      <c r="M56" s="177" t="s">
        <v>109</v>
      </c>
      <c r="N56" s="177" t="s">
        <v>109</v>
      </c>
      <c r="O56" s="180">
        <v>45708</v>
      </c>
      <c r="P56" s="177" t="s">
        <v>109</v>
      </c>
      <c r="Q56" s="177" t="s">
        <v>109</v>
      </c>
      <c r="R56" s="177" t="s">
        <v>109</v>
      </c>
      <c r="S56" s="177" t="s">
        <v>109</v>
      </c>
      <c r="T56" s="177" t="s">
        <v>116</v>
      </c>
      <c r="U56" s="177" t="s">
        <v>117</v>
      </c>
      <c r="V56" s="177" t="b">
        <v>0</v>
      </c>
      <c r="W56" s="177" t="s">
        <v>109</v>
      </c>
      <c r="X56" s="261"/>
      <c r="Y56" s="177">
        <v>9</v>
      </c>
      <c r="Z56" s="177" t="s">
        <v>109</v>
      </c>
      <c r="AA56" s="177" t="s">
        <v>180</v>
      </c>
      <c r="AB56" s="177" t="s">
        <v>180</v>
      </c>
      <c r="AC56" s="177">
        <v>4.3</v>
      </c>
      <c r="AD56" s="177" t="s">
        <v>554</v>
      </c>
      <c r="AE56" s="177" t="s">
        <v>538</v>
      </c>
      <c r="AF56" s="177">
        <v>1</v>
      </c>
      <c r="AG56" s="177">
        <v>7144</v>
      </c>
      <c r="AH56" s="177" t="s">
        <v>121</v>
      </c>
      <c r="AI56" s="177" t="b">
        <v>1</v>
      </c>
      <c r="AJ56" s="180">
        <v>43584</v>
      </c>
      <c r="AK56" s="177" t="s">
        <v>122</v>
      </c>
      <c r="AL56" s="177" t="s">
        <v>109</v>
      </c>
      <c r="AM56" s="177" t="s">
        <v>109</v>
      </c>
      <c r="AN56" s="177" t="b">
        <v>0</v>
      </c>
      <c r="AO56" s="177" t="s">
        <v>109</v>
      </c>
      <c r="AP56" s="177" t="s">
        <v>109</v>
      </c>
      <c r="AQ56" s="177" t="s">
        <v>109</v>
      </c>
      <c r="AR56" s="177" t="b">
        <v>0</v>
      </c>
      <c r="AS56" s="177" t="s">
        <v>123</v>
      </c>
      <c r="AT56" s="180" t="s">
        <v>123</v>
      </c>
      <c r="AU56" s="177" t="s">
        <v>124</v>
      </c>
      <c r="AV56" s="177" t="s">
        <v>109</v>
      </c>
      <c r="AW56" s="177" t="s">
        <v>109</v>
      </c>
      <c r="AX56" s="177" t="s">
        <v>109</v>
      </c>
      <c r="AY56" s="177" t="s">
        <v>135</v>
      </c>
      <c r="AZ56" s="177" t="s">
        <v>109</v>
      </c>
      <c r="BA56" s="177" t="s">
        <v>218</v>
      </c>
      <c r="BB56" s="177" t="s">
        <v>109</v>
      </c>
      <c r="BC56" s="177" t="s">
        <v>126</v>
      </c>
      <c r="BD56" s="177" t="s">
        <v>109</v>
      </c>
      <c r="BE56" s="180" t="s">
        <v>555</v>
      </c>
      <c r="BF56" s="180" t="s">
        <v>556</v>
      </c>
      <c r="BG56" s="180" t="s">
        <v>557</v>
      </c>
      <c r="BH56" s="177" t="s">
        <v>109</v>
      </c>
      <c r="BI56" s="177" t="s">
        <v>109</v>
      </c>
      <c r="BJ56" s="177" t="b">
        <v>0</v>
      </c>
      <c r="BK56" s="233">
        <v>5185.8689999999997</v>
      </c>
      <c r="BL56" s="234" t="s">
        <v>128</v>
      </c>
      <c r="BM56" s="233">
        <v>2860.5059667270002</v>
      </c>
      <c r="BN56" s="233">
        <v>38.522075100000002</v>
      </c>
      <c r="BO56" s="233">
        <v>17.295411999999999</v>
      </c>
      <c r="BP56" s="233">
        <v>0</v>
      </c>
      <c r="BQ56" s="233">
        <v>0</v>
      </c>
      <c r="BR56" s="233">
        <v>0</v>
      </c>
      <c r="BS56" s="233">
        <v>0</v>
      </c>
      <c r="BT56" s="233">
        <v>0</v>
      </c>
      <c r="BU56" s="233">
        <v>0</v>
      </c>
      <c r="BV56" s="233">
        <v>0</v>
      </c>
      <c r="BW56" s="233">
        <v>0</v>
      </c>
      <c r="BX56" s="233">
        <v>0</v>
      </c>
      <c r="BY56" s="234">
        <v>0</v>
      </c>
      <c r="BZ56" s="236" t="s">
        <v>109</v>
      </c>
      <c r="CA56" s="236" t="s">
        <v>109</v>
      </c>
      <c r="CB56" s="236" t="s">
        <v>189</v>
      </c>
      <c r="CC56" s="233">
        <v>2843.2105548</v>
      </c>
      <c r="CD56" s="233">
        <v>17.295411999999999</v>
      </c>
      <c r="CE56" s="233">
        <v>0</v>
      </c>
      <c r="CF56" s="233">
        <v>0</v>
      </c>
      <c r="CG56" s="233">
        <v>0</v>
      </c>
      <c r="CH56" s="233">
        <v>0</v>
      </c>
      <c r="CI56" s="233">
        <v>0</v>
      </c>
      <c r="CJ56" s="237">
        <v>0</v>
      </c>
      <c r="CK56" s="177" t="s">
        <v>128</v>
      </c>
      <c r="CL56" s="177" t="s">
        <v>128</v>
      </c>
      <c r="CM56" s="155" t="s">
        <v>109</v>
      </c>
      <c r="CN56" s="229">
        <v>1</v>
      </c>
      <c r="CO56" s="229">
        <v>0</v>
      </c>
      <c r="CP56" s="138" t="s">
        <v>558</v>
      </c>
      <c r="CR56" s="248"/>
    </row>
    <row r="57" spans="1:96" ht="86.4" x14ac:dyDescent="0.3">
      <c r="A57">
        <v>54</v>
      </c>
      <c r="B57" s="173" t="s">
        <v>559</v>
      </c>
      <c r="C57" s="259"/>
      <c r="D57" s="260"/>
      <c r="E57" t="s">
        <v>177</v>
      </c>
      <c r="F57" t="s">
        <v>560</v>
      </c>
      <c r="G57" s="177" t="s">
        <v>233</v>
      </c>
      <c r="H57" s="177" t="s">
        <v>112</v>
      </c>
      <c r="I57" s="177" t="s">
        <v>112</v>
      </c>
      <c r="J57" s="177" t="s">
        <v>109</v>
      </c>
      <c r="K57" s="177" t="s">
        <v>114</v>
      </c>
      <c r="L57" s="177" t="s">
        <v>207</v>
      </c>
      <c r="M57" s="177" t="s">
        <v>109</v>
      </c>
      <c r="N57" s="177" t="s">
        <v>109</v>
      </c>
      <c r="O57" s="180">
        <v>45685</v>
      </c>
      <c r="P57" s="177" t="s">
        <v>109</v>
      </c>
      <c r="Q57" s="177" t="s">
        <v>109</v>
      </c>
      <c r="R57" s="177" t="s">
        <v>109</v>
      </c>
      <c r="S57" s="177" t="s">
        <v>109</v>
      </c>
      <c r="T57" s="177" t="s">
        <v>116</v>
      </c>
      <c r="U57" s="177" t="s">
        <v>117</v>
      </c>
      <c r="V57" s="177" t="b">
        <v>0</v>
      </c>
      <c r="W57" s="177" t="s">
        <v>109</v>
      </c>
      <c r="X57" s="261"/>
      <c r="Y57" s="177">
        <v>3.2</v>
      </c>
      <c r="Z57" s="177" t="s">
        <v>109</v>
      </c>
      <c r="AA57" s="177" t="s">
        <v>109</v>
      </c>
      <c r="AB57" s="177" t="s">
        <v>109</v>
      </c>
      <c r="AC57" s="177">
        <v>4.3</v>
      </c>
      <c r="AD57" s="177" t="s">
        <v>561</v>
      </c>
      <c r="AE57" s="177" t="s">
        <v>538</v>
      </c>
      <c r="AF57" s="177">
        <v>1</v>
      </c>
      <c r="AG57" s="177">
        <v>7144</v>
      </c>
      <c r="AH57" s="177" t="s">
        <v>121</v>
      </c>
      <c r="AI57" s="177" t="b">
        <v>1</v>
      </c>
      <c r="AJ57" s="180">
        <v>43584</v>
      </c>
      <c r="AK57" s="177" t="s">
        <v>122</v>
      </c>
      <c r="AL57" s="177" t="s">
        <v>109</v>
      </c>
      <c r="AM57" s="177" t="s">
        <v>109</v>
      </c>
      <c r="AN57" s="177" t="b">
        <v>0</v>
      </c>
      <c r="AO57" s="177" t="s">
        <v>109</v>
      </c>
      <c r="AP57" s="177" t="s">
        <v>109</v>
      </c>
      <c r="AQ57" s="177" t="s">
        <v>109</v>
      </c>
      <c r="AR57" s="177" t="b">
        <v>0</v>
      </c>
      <c r="AS57" s="177" t="s">
        <v>123</v>
      </c>
      <c r="AT57" s="180" t="s">
        <v>123</v>
      </c>
      <c r="AU57" s="177" t="s">
        <v>124</v>
      </c>
      <c r="AV57" s="177" t="s">
        <v>109</v>
      </c>
      <c r="AW57" s="177" t="s">
        <v>109</v>
      </c>
      <c r="AX57" s="177" t="s">
        <v>109</v>
      </c>
      <c r="AY57" s="177" t="s">
        <v>135</v>
      </c>
      <c r="AZ57" s="177" t="s">
        <v>109</v>
      </c>
      <c r="BA57" s="177" t="s">
        <v>218</v>
      </c>
      <c r="BB57" s="177" t="s">
        <v>109</v>
      </c>
      <c r="BC57" s="177" t="s">
        <v>126</v>
      </c>
      <c r="BD57" s="177" t="s">
        <v>109</v>
      </c>
      <c r="BE57" s="180" t="s">
        <v>562</v>
      </c>
      <c r="BF57" s="180" t="s">
        <v>556</v>
      </c>
      <c r="BG57" s="180" t="s">
        <v>563</v>
      </c>
      <c r="BH57" s="177" t="s">
        <v>109</v>
      </c>
      <c r="BI57" s="177" t="s">
        <v>109</v>
      </c>
      <c r="BJ57" s="177" t="b">
        <v>0</v>
      </c>
      <c r="BK57" s="233">
        <v>2934.8130000000001</v>
      </c>
      <c r="BL57" s="234" t="s">
        <v>128</v>
      </c>
      <c r="BM57" s="233">
        <v>1753.723886495</v>
      </c>
      <c r="BN57" s="233">
        <v>1284.5072479999999</v>
      </c>
      <c r="BO57" s="233">
        <v>49.065835499999999</v>
      </c>
      <c r="BP57" s="233">
        <v>0</v>
      </c>
      <c r="BQ57" s="233">
        <v>0</v>
      </c>
      <c r="BR57" s="233">
        <v>0</v>
      </c>
      <c r="BS57" s="233">
        <v>0</v>
      </c>
      <c r="BT57" s="233">
        <v>0</v>
      </c>
      <c r="BU57" s="233">
        <v>0</v>
      </c>
      <c r="BV57" s="233">
        <v>0</v>
      </c>
      <c r="BW57" s="233">
        <v>0</v>
      </c>
      <c r="BX57" s="233">
        <v>0</v>
      </c>
      <c r="BY57" s="234">
        <v>0</v>
      </c>
      <c r="BZ57" s="236" t="s">
        <v>109</v>
      </c>
      <c r="CA57" s="236" t="s">
        <v>109</v>
      </c>
      <c r="CB57" s="236" t="s">
        <v>189</v>
      </c>
      <c r="CC57" s="233">
        <v>1704.6580509999999</v>
      </c>
      <c r="CD57" s="233">
        <v>49.065835499999999</v>
      </c>
      <c r="CE57" s="233">
        <v>0</v>
      </c>
      <c r="CF57" s="233">
        <v>0</v>
      </c>
      <c r="CG57" s="233">
        <v>0</v>
      </c>
      <c r="CH57" s="233">
        <v>0</v>
      </c>
      <c r="CI57" s="233">
        <v>0</v>
      </c>
      <c r="CJ57" s="237">
        <v>0</v>
      </c>
      <c r="CK57" s="177" t="s">
        <v>128</v>
      </c>
      <c r="CL57" s="177" t="s">
        <v>128</v>
      </c>
      <c r="CM57" s="155" t="s">
        <v>109</v>
      </c>
      <c r="CN57" s="229">
        <v>0</v>
      </c>
      <c r="CO57" s="229">
        <v>0</v>
      </c>
      <c r="CP57" s="138" t="s">
        <v>564</v>
      </c>
      <c r="CR57" s="248"/>
    </row>
    <row r="58" spans="1:96" ht="86.4" x14ac:dyDescent="0.3">
      <c r="A58">
        <v>55</v>
      </c>
      <c r="B58" s="173" t="s">
        <v>565</v>
      </c>
      <c r="C58" s="259"/>
      <c r="D58" s="260"/>
      <c r="E58" t="s">
        <v>329</v>
      </c>
      <c r="F58" t="s">
        <v>566</v>
      </c>
      <c r="G58" s="177" t="s">
        <v>233</v>
      </c>
      <c r="H58" s="177" t="s">
        <v>112</v>
      </c>
      <c r="I58" s="177" t="s">
        <v>112</v>
      </c>
      <c r="J58" s="177" t="s">
        <v>109</v>
      </c>
      <c r="K58" s="177" t="s">
        <v>114</v>
      </c>
      <c r="L58" s="177" t="s">
        <v>207</v>
      </c>
      <c r="M58" s="177" t="s">
        <v>109</v>
      </c>
      <c r="N58" s="177" t="s">
        <v>109</v>
      </c>
      <c r="O58" s="180">
        <v>45692</v>
      </c>
      <c r="P58" s="177" t="s">
        <v>109</v>
      </c>
      <c r="Q58" s="177" t="s">
        <v>109</v>
      </c>
      <c r="R58" s="177" t="s">
        <v>109</v>
      </c>
      <c r="S58" s="177" t="s">
        <v>109</v>
      </c>
      <c r="T58" s="177" t="s">
        <v>116</v>
      </c>
      <c r="U58" s="177" t="s">
        <v>117</v>
      </c>
      <c r="V58" s="177" t="b">
        <v>0</v>
      </c>
      <c r="W58" s="177" t="s">
        <v>109</v>
      </c>
      <c r="X58" s="261"/>
      <c r="Y58" s="177">
        <v>1.84</v>
      </c>
      <c r="Z58" s="177" t="s">
        <v>109</v>
      </c>
      <c r="AA58" s="177" t="s">
        <v>109</v>
      </c>
      <c r="AB58" s="177" t="s">
        <v>109</v>
      </c>
      <c r="AC58" s="177">
        <v>4.3</v>
      </c>
      <c r="AD58" s="177" t="s">
        <v>567</v>
      </c>
      <c r="AE58" s="177" t="s">
        <v>538</v>
      </c>
      <c r="AF58" s="177">
        <v>1</v>
      </c>
      <c r="AG58" s="177">
        <v>7144</v>
      </c>
      <c r="AH58" s="177" t="s">
        <v>121</v>
      </c>
      <c r="AI58" s="177" t="b">
        <v>1</v>
      </c>
      <c r="AJ58" s="180" t="s">
        <v>568</v>
      </c>
      <c r="AK58" s="177" t="s">
        <v>122</v>
      </c>
      <c r="AL58" s="177" t="s">
        <v>109</v>
      </c>
      <c r="AM58" s="177" t="s">
        <v>109</v>
      </c>
      <c r="AN58" s="177" t="b">
        <v>0</v>
      </c>
      <c r="AO58" s="177" t="s">
        <v>109</v>
      </c>
      <c r="AP58" s="177" t="s">
        <v>109</v>
      </c>
      <c r="AQ58" s="177" t="s">
        <v>109</v>
      </c>
      <c r="AR58" s="177" t="b">
        <v>0</v>
      </c>
      <c r="AS58" s="177" t="s">
        <v>123</v>
      </c>
      <c r="AT58" s="180" t="s">
        <v>123</v>
      </c>
      <c r="AU58" s="177" t="s">
        <v>124</v>
      </c>
      <c r="AV58" s="177" t="s">
        <v>109</v>
      </c>
      <c r="AW58" s="177" t="s">
        <v>109</v>
      </c>
      <c r="AX58" s="177" t="s">
        <v>109</v>
      </c>
      <c r="AY58" s="177" t="s">
        <v>135</v>
      </c>
      <c r="AZ58" s="177" t="s">
        <v>109</v>
      </c>
      <c r="BA58" s="177" t="s">
        <v>218</v>
      </c>
      <c r="BB58" s="177" t="s">
        <v>109</v>
      </c>
      <c r="BC58" s="177" t="s">
        <v>126</v>
      </c>
      <c r="BD58" s="177" t="s">
        <v>109</v>
      </c>
      <c r="BE58" s="180" t="s">
        <v>569</v>
      </c>
      <c r="BF58" s="180" t="s">
        <v>570</v>
      </c>
      <c r="BG58" s="180" t="s">
        <v>571</v>
      </c>
      <c r="BH58" s="177" t="s">
        <v>109</v>
      </c>
      <c r="BI58" s="177" t="s">
        <v>109</v>
      </c>
      <c r="BJ58" s="177" t="b">
        <v>0</v>
      </c>
      <c r="BK58" s="233">
        <v>2930.2579999999998</v>
      </c>
      <c r="BL58" s="234" t="s">
        <v>128</v>
      </c>
      <c r="BM58" s="233">
        <v>3839.573729149</v>
      </c>
      <c r="BN58" s="233">
        <v>727.87382509999998</v>
      </c>
      <c r="BO58" s="233">
        <v>2546.6883106</v>
      </c>
      <c r="BP58" s="233">
        <v>338.09369340000001</v>
      </c>
      <c r="BQ58" s="233">
        <v>46.106815500000003</v>
      </c>
      <c r="BR58" s="233">
        <v>118.879538</v>
      </c>
      <c r="BS58" s="233">
        <v>0</v>
      </c>
      <c r="BT58" s="233">
        <v>0</v>
      </c>
      <c r="BU58" s="233">
        <v>0</v>
      </c>
      <c r="BV58" s="233">
        <v>0</v>
      </c>
      <c r="BW58" s="233">
        <v>0</v>
      </c>
      <c r="BX58" s="233">
        <v>0</v>
      </c>
      <c r="BY58" s="234">
        <v>0</v>
      </c>
      <c r="BZ58" s="236" t="s">
        <v>109</v>
      </c>
      <c r="CA58" s="236" t="s">
        <v>109</v>
      </c>
      <c r="CB58" s="236" t="s">
        <v>270</v>
      </c>
      <c r="CC58" s="233">
        <v>0</v>
      </c>
      <c r="CD58" s="233">
        <v>0</v>
      </c>
      <c r="CE58" s="233">
        <v>3674.5873756999999</v>
      </c>
      <c r="CF58" s="233">
        <v>46.106815500000003</v>
      </c>
      <c r="CG58" s="233">
        <v>118.879538</v>
      </c>
      <c r="CH58" s="233">
        <v>0</v>
      </c>
      <c r="CI58" s="233">
        <v>0</v>
      </c>
      <c r="CJ58" s="237">
        <v>0</v>
      </c>
      <c r="CK58" s="177" t="s">
        <v>128</v>
      </c>
      <c r="CL58" s="177" t="s">
        <v>128</v>
      </c>
      <c r="CM58" s="155" t="s">
        <v>109</v>
      </c>
      <c r="CN58" s="229">
        <v>0</v>
      </c>
      <c r="CO58" s="229">
        <v>0</v>
      </c>
      <c r="CP58" s="138" t="s">
        <v>572</v>
      </c>
      <c r="CR58" s="248"/>
    </row>
    <row r="59" spans="1:96" ht="14.4" x14ac:dyDescent="0.3">
      <c r="A59">
        <v>56</v>
      </c>
      <c r="B59" s="173" t="s">
        <v>573</v>
      </c>
      <c r="C59" s="259"/>
      <c r="D59" s="260"/>
      <c r="E59" t="s">
        <v>410</v>
      </c>
      <c r="F59" t="s">
        <v>574</v>
      </c>
      <c r="G59" s="177" t="s">
        <v>233</v>
      </c>
      <c r="H59" s="177" t="s">
        <v>112</v>
      </c>
      <c r="I59" s="177" t="s">
        <v>112</v>
      </c>
      <c r="J59" s="177" t="s">
        <v>109</v>
      </c>
      <c r="K59" s="177" t="s">
        <v>114</v>
      </c>
      <c r="L59" s="177" t="s">
        <v>207</v>
      </c>
      <c r="M59" s="177" t="s">
        <v>109</v>
      </c>
      <c r="N59" s="177" t="s">
        <v>109</v>
      </c>
      <c r="O59" s="180">
        <v>45703</v>
      </c>
      <c r="P59" s="177" t="s">
        <v>575</v>
      </c>
      <c r="Q59" s="177" t="s">
        <v>109</v>
      </c>
      <c r="R59" s="177" t="s">
        <v>109</v>
      </c>
      <c r="S59" s="177" t="s">
        <v>109</v>
      </c>
      <c r="T59" s="177" t="s">
        <v>116</v>
      </c>
      <c r="U59" s="177" t="s">
        <v>117</v>
      </c>
      <c r="V59" s="177" t="b">
        <v>0</v>
      </c>
      <c r="W59" s="177" t="s">
        <v>123</v>
      </c>
      <c r="X59" s="261"/>
      <c r="Y59" s="177">
        <v>5.28</v>
      </c>
      <c r="Z59" s="177" t="s">
        <v>109</v>
      </c>
      <c r="AA59" s="177" t="s">
        <v>109</v>
      </c>
      <c r="AB59" s="177" t="s">
        <v>109</v>
      </c>
      <c r="AC59" s="177">
        <v>4.3</v>
      </c>
      <c r="AD59" s="177" t="s">
        <v>576</v>
      </c>
      <c r="AE59" s="177" t="s">
        <v>538</v>
      </c>
      <c r="AF59" s="177">
        <v>1</v>
      </c>
      <c r="AG59" s="177">
        <v>7144</v>
      </c>
      <c r="AH59" s="177" t="s">
        <v>121</v>
      </c>
      <c r="AI59" s="177" t="b">
        <v>1</v>
      </c>
      <c r="AJ59" s="180" t="s">
        <v>577</v>
      </c>
      <c r="AK59" s="177" t="s">
        <v>122</v>
      </c>
      <c r="AL59" s="177">
        <v>2019</v>
      </c>
      <c r="AM59" s="177" t="s">
        <v>109</v>
      </c>
      <c r="AN59" s="177" t="b">
        <v>0</v>
      </c>
      <c r="AO59" s="177" t="s">
        <v>109</v>
      </c>
      <c r="AP59" s="177" t="s">
        <v>109</v>
      </c>
      <c r="AQ59" s="177" t="s">
        <v>109</v>
      </c>
      <c r="AR59" s="177" t="b">
        <v>0</v>
      </c>
      <c r="AS59" s="177" t="s">
        <v>123</v>
      </c>
      <c r="AT59" s="180" t="s">
        <v>123</v>
      </c>
      <c r="AU59" s="177" t="s">
        <v>124</v>
      </c>
      <c r="AV59" s="177" t="s">
        <v>109</v>
      </c>
      <c r="AW59" s="177" t="s">
        <v>226</v>
      </c>
      <c r="AX59" s="177" t="s">
        <v>109</v>
      </c>
      <c r="AY59" s="177" t="s">
        <v>135</v>
      </c>
      <c r="AZ59" s="177" t="s">
        <v>109</v>
      </c>
      <c r="BA59" s="177" t="s">
        <v>125</v>
      </c>
      <c r="BB59" s="177" t="s">
        <v>109</v>
      </c>
      <c r="BC59" s="177" t="s">
        <v>126</v>
      </c>
      <c r="BD59" s="177" t="s">
        <v>109</v>
      </c>
      <c r="BE59" s="180" t="s">
        <v>578</v>
      </c>
      <c r="BF59" s="180" t="s">
        <v>579</v>
      </c>
      <c r="BG59" s="180" t="s">
        <v>580</v>
      </c>
      <c r="BH59" s="177" t="s">
        <v>109</v>
      </c>
      <c r="BI59" s="177" t="s">
        <v>109</v>
      </c>
      <c r="BJ59" s="177" t="b">
        <v>0</v>
      </c>
      <c r="BK59" s="233">
        <v>1921.4079999999999</v>
      </c>
      <c r="BL59" s="234" t="s">
        <v>128</v>
      </c>
      <c r="BM59" s="233">
        <v>1095.2417288950001</v>
      </c>
      <c r="BN59" s="233">
        <v>336.56094109999998</v>
      </c>
      <c r="BO59" s="233">
        <v>476.4008614</v>
      </c>
      <c r="BP59" s="233">
        <v>77.607098500000006</v>
      </c>
      <c r="BQ59" s="233">
        <v>38.245145899999997</v>
      </c>
      <c r="BR59" s="233">
        <v>57.666846</v>
      </c>
      <c r="BS59" s="233">
        <v>0</v>
      </c>
      <c r="BT59" s="233">
        <v>0</v>
      </c>
      <c r="BU59" s="233">
        <v>0</v>
      </c>
      <c r="BV59" s="233">
        <v>0</v>
      </c>
      <c r="BW59" s="233">
        <v>0</v>
      </c>
      <c r="BX59" s="233">
        <v>0</v>
      </c>
      <c r="BY59" s="234">
        <v>0</v>
      </c>
      <c r="BZ59" s="236" t="s">
        <v>109</v>
      </c>
      <c r="CA59" s="236" t="s">
        <v>109</v>
      </c>
      <c r="CB59" s="236" t="s">
        <v>460</v>
      </c>
      <c r="CC59" s="233">
        <v>0</v>
      </c>
      <c r="CD59" s="233">
        <v>921.72263859999998</v>
      </c>
      <c r="CE59" s="233">
        <v>77.607098500000006</v>
      </c>
      <c r="CF59" s="233">
        <v>38.245145899999997</v>
      </c>
      <c r="CG59" s="233">
        <v>57.666846</v>
      </c>
      <c r="CH59" s="233">
        <v>0</v>
      </c>
      <c r="CI59" s="233">
        <v>0</v>
      </c>
      <c r="CJ59" s="237">
        <v>0</v>
      </c>
      <c r="CK59" s="177" t="s">
        <v>128</v>
      </c>
      <c r="CL59" s="177" t="s">
        <v>128</v>
      </c>
      <c r="CM59" s="155" t="s">
        <v>109</v>
      </c>
      <c r="CN59" s="229">
        <v>0</v>
      </c>
      <c r="CO59" s="229">
        <v>0</v>
      </c>
      <c r="CP59" t="s">
        <v>155</v>
      </c>
      <c r="CR59" s="248"/>
    </row>
    <row r="60" spans="1:96" ht="57.6" x14ac:dyDescent="0.3">
      <c r="A60">
        <v>57</v>
      </c>
      <c r="B60" s="173" t="s">
        <v>581</v>
      </c>
      <c r="C60" s="259"/>
      <c r="D60" s="260"/>
      <c r="E60" t="s">
        <v>410</v>
      </c>
      <c r="F60" t="s">
        <v>582</v>
      </c>
      <c r="G60" s="177" t="s">
        <v>233</v>
      </c>
      <c r="H60" s="177" t="s">
        <v>112</v>
      </c>
      <c r="I60" s="177" t="s">
        <v>112</v>
      </c>
      <c r="J60" s="177" t="s">
        <v>109</v>
      </c>
      <c r="K60" s="177" t="s">
        <v>114</v>
      </c>
      <c r="L60" s="177" t="s">
        <v>207</v>
      </c>
      <c r="M60" s="177" t="s">
        <v>109</v>
      </c>
      <c r="N60" s="177" t="s">
        <v>109</v>
      </c>
      <c r="O60" s="180">
        <v>45703</v>
      </c>
      <c r="P60" s="177" t="s">
        <v>109</v>
      </c>
      <c r="Q60" s="177" t="s">
        <v>109</v>
      </c>
      <c r="R60" s="177" t="s">
        <v>109</v>
      </c>
      <c r="S60" s="177" t="s">
        <v>109</v>
      </c>
      <c r="T60" s="177" t="s">
        <v>116</v>
      </c>
      <c r="U60" s="177" t="s">
        <v>117</v>
      </c>
      <c r="V60" s="177" t="b">
        <v>0</v>
      </c>
      <c r="W60" s="177" t="s">
        <v>123</v>
      </c>
      <c r="X60" s="261"/>
      <c r="Y60" s="177">
        <v>2.54</v>
      </c>
      <c r="Z60" s="177" t="s">
        <v>109</v>
      </c>
      <c r="AA60" s="177" t="s">
        <v>109</v>
      </c>
      <c r="AB60" s="177" t="s">
        <v>109</v>
      </c>
      <c r="AC60" s="177">
        <v>4.3</v>
      </c>
      <c r="AD60" s="177" t="s">
        <v>583</v>
      </c>
      <c r="AE60" s="177" t="s">
        <v>538</v>
      </c>
      <c r="AF60" s="177">
        <v>1</v>
      </c>
      <c r="AG60" s="177">
        <v>7144</v>
      </c>
      <c r="AH60" s="177" t="s">
        <v>121</v>
      </c>
      <c r="AI60" s="177" t="b">
        <v>1</v>
      </c>
      <c r="AJ60" s="180">
        <v>41407</v>
      </c>
      <c r="AK60" s="177" t="s">
        <v>122</v>
      </c>
      <c r="AL60" s="177">
        <v>2019</v>
      </c>
      <c r="AM60" s="177" t="s">
        <v>109</v>
      </c>
      <c r="AN60" s="177" t="b">
        <v>0</v>
      </c>
      <c r="AO60" s="177" t="s">
        <v>109</v>
      </c>
      <c r="AP60" s="177" t="s">
        <v>109</v>
      </c>
      <c r="AQ60" s="177" t="s">
        <v>109</v>
      </c>
      <c r="AR60" s="177" t="b">
        <v>0</v>
      </c>
      <c r="AS60" s="177" t="s">
        <v>123</v>
      </c>
      <c r="AT60" s="180" t="s">
        <v>123</v>
      </c>
      <c r="AU60" s="177" t="s">
        <v>124</v>
      </c>
      <c r="AV60" s="177" t="s">
        <v>109</v>
      </c>
      <c r="AW60" s="177" t="s">
        <v>226</v>
      </c>
      <c r="AX60" s="177" t="s">
        <v>118</v>
      </c>
      <c r="AY60" s="177" t="s">
        <v>135</v>
      </c>
      <c r="AZ60" s="177" t="s">
        <v>109</v>
      </c>
      <c r="BA60" s="177" t="s">
        <v>218</v>
      </c>
      <c r="BB60" s="177" t="s">
        <v>109</v>
      </c>
      <c r="BC60" s="177" t="s">
        <v>397</v>
      </c>
      <c r="BD60" s="177" t="s">
        <v>109</v>
      </c>
      <c r="BE60" s="180" t="s">
        <v>584</v>
      </c>
      <c r="BF60" s="180" t="s">
        <v>585</v>
      </c>
      <c r="BG60" s="180" t="s">
        <v>586</v>
      </c>
      <c r="BH60" s="177" t="s">
        <v>138</v>
      </c>
      <c r="BI60" s="177" t="s">
        <v>109</v>
      </c>
      <c r="BJ60" s="177" t="b">
        <v>0</v>
      </c>
      <c r="BK60" s="233">
        <v>390</v>
      </c>
      <c r="BL60" s="234" t="s">
        <v>128</v>
      </c>
      <c r="BM60" s="233">
        <v>1746.19047662206</v>
      </c>
      <c r="BN60" s="233">
        <v>224.0887917</v>
      </c>
      <c r="BO60" s="233">
        <v>89.428800300000006</v>
      </c>
      <c r="BP60" s="233">
        <v>166.78593219999999</v>
      </c>
      <c r="BQ60" s="233">
        <v>94.824762100000001</v>
      </c>
      <c r="BR60" s="233">
        <v>350.04494399999999</v>
      </c>
      <c r="BS60" s="233">
        <v>1.57203</v>
      </c>
      <c r="BT60" s="233">
        <v>30.088738500000002</v>
      </c>
      <c r="BU60" s="233">
        <v>38.024643300000001</v>
      </c>
      <c r="BV60" s="233">
        <v>0</v>
      </c>
      <c r="BW60" s="233">
        <v>0</v>
      </c>
      <c r="BX60" s="233">
        <v>0</v>
      </c>
      <c r="BY60" s="234">
        <v>1678.0770948220602</v>
      </c>
      <c r="BZ60" s="236" t="s">
        <v>109</v>
      </c>
      <c r="CA60" s="236" t="s">
        <v>109</v>
      </c>
      <c r="CB60" s="236" t="s">
        <v>109</v>
      </c>
      <c r="CC60" s="233">
        <v>0</v>
      </c>
      <c r="CD60" s="233">
        <v>0</v>
      </c>
      <c r="CE60" s="233">
        <v>0</v>
      </c>
      <c r="CF60" s="233">
        <v>0</v>
      </c>
      <c r="CG60" s="233">
        <v>0</v>
      </c>
      <c r="CH60" s="233">
        <v>0</v>
      </c>
      <c r="CI60" s="233">
        <v>0</v>
      </c>
      <c r="CJ60" s="237">
        <v>0</v>
      </c>
      <c r="CK60" s="177" t="s">
        <v>128</v>
      </c>
      <c r="CL60" s="177" t="s">
        <v>128</v>
      </c>
      <c r="CM60" s="155" t="s">
        <v>109</v>
      </c>
      <c r="CN60" s="229">
        <v>0</v>
      </c>
      <c r="CO60" s="229">
        <v>0</v>
      </c>
      <c r="CP60" s="138" t="s">
        <v>587</v>
      </c>
      <c r="CR60" s="248"/>
    </row>
    <row r="61" spans="1:96" ht="57.6" x14ac:dyDescent="0.3">
      <c r="A61">
        <v>58</v>
      </c>
      <c r="B61" s="173" t="s">
        <v>588</v>
      </c>
      <c r="C61" s="259"/>
      <c r="D61" s="260"/>
      <c r="E61" t="s">
        <v>410</v>
      </c>
      <c r="F61" t="s">
        <v>589</v>
      </c>
      <c r="G61" s="177" t="s">
        <v>233</v>
      </c>
      <c r="H61" s="177" t="s">
        <v>112</v>
      </c>
      <c r="I61" s="177" t="s">
        <v>112</v>
      </c>
      <c r="J61" s="177" t="s">
        <v>109</v>
      </c>
      <c r="K61" s="177" t="s">
        <v>114</v>
      </c>
      <c r="L61" s="177" t="s">
        <v>207</v>
      </c>
      <c r="M61" s="177" t="s">
        <v>109</v>
      </c>
      <c r="N61" s="177" t="s">
        <v>109</v>
      </c>
      <c r="O61" s="180">
        <v>45696</v>
      </c>
      <c r="P61" s="177" t="s">
        <v>109</v>
      </c>
      <c r="Q61" s="177" t="s">
        <v>109</v>
      </c>
      <c r="R61" s="177" t="s">
        <v>109</v>
      </c>
      <c r="S61" s="177" t="s">
        <v>109</v>
      </c>
      <c r="T61" s="177" t="s">
        <v>404</v>
      </c>
      <c r="U61" s="177" t="s">
        <v>117</v>
      </c>
      <c r="V61" s="177" t="b">
        <v>0</v>
      </c>
      <c r="W61" s="177" t="s">
        <v>123</v>
      </c>
      <c r="X61" s="261"/>
      <c r="Y61" s="177">
        <v>7.484</v>
      </c>
      <c r="Z61" s="177" t="s">
        <v>109</v>
      </c>
      <c r="AA61" s="177" t="s">
        <v>109</v>
      </c>
      <c r="AB61" s="177" t="s">
        <v>109</v>
      </c>
      <c r="AC61" s="177">
        <v>4.3</v>
      </c>
      <c r="AD61" s="177" t="s">
        <v>590</v>
      </c>
      <c r="AE61" s="177" t="s">
        <v>538</v>
      </c>
      <c r="AF61" s="177">
        <v>1</v>
      </c>
      <c r="AG61" s="177">
        <v>7144</v>
      </c>
      <c r="AH61" s="177" t="s">
        <v>121</v>
      </c>
      <c r="AI61" s="177" t="b">
        <v>1</v>
      </c>
      <c r="AJ61" s="180" t="s">
        <v>591</v>
      </c>
      <c r="AK61" s="177" t="s">
        <v>122</v>
      </c>
      <c r="AL61" s="177">
        <v>2019</v>
      </c>
      <c r="AM61" s="177" t="s">
        <v>109</v>
      </c>
      <c r="AN61" s="177" t="b">
        <v>0</v>
      </c>
      <c r="AO61" s="177" t="s">
        <v>109</v>
      </c>
      <c r="AP61" s="177" t="s">
        <v>109</v>
      </c>
      <c r="AQ61" s="177" t="s">
        <v>109</v>
      </c>
      <c r="AR61" s="177" t="b">
        <v>0</v>
      </c>
      <c r="AS61" s="177" t="s">
        <v>123</v>
      </c>
      <c r="AT61" s="180" t="s">
        <v>123</v>
      </c>
      <c r="AU61" s="177" t="s">
        <v>124</v>
      </c>
      <c r="AV61" s="177" t="s">
        <v>109</v>
      </c>
      <c r="AW61" s="177" t="s">
        <v>226</v>
      </c>
      <c r="AX61" s="177" t="s">
        <v>118</v>
      </c>
      <c r="AY61" s="177" t="s">
        <v>135</v>
      </c>
      <c r="AZ61" s="177" t="s">
        <v>109</v>
      </c>
      <c r="BA61" s="177" t="s">
        <v>218</v>
      </c>
      <c r="BB61" s="177" t="s">
        <v>109</v>
      </c>
      <c r="BC61" s="177" t="s">
        <v>397</v>
      </c>
      <c r="BD61" s="177" t="s">
        <v>109</v>
      </c>
      <c r="BE61" s="180" t="s">
        <v>592</v>
      </c>
      <c r="BF61" s="180" t="s">
        <v>593</v>
      </c>
      <c r="BG61" s="180" t="s">
        <v>594</v>
      </c>
      <c r="BH61" s="177" t="s">
        <v>138</v>
      </c>
      <c r="BI61" s="177" t="s">
        <v>109</v>
      </c>
      <c r="BJ61" s="177" t="b">
        <v>0</v>
      </c>
      <c r="BK61" s="233">
        <v>2794.2979999999998</v>
      </c>
      <c r="BL61" s="234" t="s">
        <v>128</v>
      </c>
      <c r="BM61" s="233">
        <v>2430.2078042060798</v>
      </c>
      <c r="BN61" s="233">
        <v>40.950537199999999</v>
      </c>
      <c r="BO61" s="233">
        <v>320.59781750000002</v>
      </c>
      <c r="BP61" s="233">
        <v>508.78390919999998</v>
      </c>
      <c r="BQ61" s="233">
        <v>6.6927143999999998</v>
      </c>
      <c r="BR61" s="233">
        <v>1273.297928</v>
      </c>
      <c r="BS61" s="233">
        <v>5.71828</v>
      </c>
      <c r="BT61" s="233">
        <v>109.4485968</v>
      </c>
      <c r="BU61" s="233">
        <v>7.3285790999999998</v>
      </c>
      <c r="BV61" s="233">
        <v>0</v>
      </c>
      <c r="BW61" s="233">
        <v>0</v>
      </c>
      <c r="BX61" s="233">
        <v>0</v>
      </c>
      <c r="BY61" s="234">
        <v>2313.4306283060801</v>
      </c>
      <c r="BZ61" s="236" t="s">
        <v>109</v>
      </c>
      <c r="CA61" s="236" t="s">
        <v>109</v>
      </c>
      <c r="CB61" s="236" t="s">
        <v>109</v>
      </c>
      <c r="CC61" s="233">
        <v>0</v>
      </c>
      <c r="CD61" s="233">
        <v>0</v>
      </c>
      <c r="CE61" s="233">
        <v>0</v>
      </c>
      <c r="CF61" s="233">
        <v>0</v>
      </c>
      <c r="CG61" s="233">
        <v>0</v>
      </c>
      <c r="CH61" s="233">
        <v>0</v>
      </c>
      <c r="CI61" s="233">
        <v>0</v>
      </c>
      <c r="CJ61" s="237">
        <v>0</v>
      </c>
      <c r="CK61" s="177" t="s">
        <v>128</v>
      </c>
      <c r="CL61" s="177" t="s">
        <v>128</v>
      </c>
      <c r="CM61" s="155" t="s">
        <v>109</v>
      </c>
      <c r="CN61" s="229">
        <v>0</v>
      </c>
      <c r="CO61" s="229">
        <v>0</v>
      </c>
      <c r="CP61" s="138" t="s">
        <v>587</v>
      </c>
      <c r="CR61" s="248"/>
    </row>
    <row r="62" spans="1:96" ht="14.4" x14ac:dyDescent="0.3">
      <c r="A62">
        <v>59</v>
      </c>
      <c r="B62" s="173" t="s">
        <v>595</v>
      </c>
      <c r="C62" s="259"/>
      <c r="D62" s="260"/>
      <c r="E62" t="s">
        <v>596</v>
      </c>
      <c r="F62" t="s">
        <v>597</v>
      </c>
      <c r="G62" s="177" t="s">
        <v>233</v>
      </c>
      <c r="H62" s="177" t="s">
        <v>112</v>
      </c>
      <c r="I62" s="177" t="s">
        <v>112</v>
      </c>
      <c r="J62" s="177" t="s">
        <v>109</v>
      </c>
      <c r="K62" s="177" t="s">
        <v>114</v>
      </c>
      <c r="L62" s="177" t="s">
        <v>207</v>
      </c>
      <c r="M62" s="177" t="s">
        <v>109</v>
      </c>
      <c r="N62" s="177" t="s">
        <v>109</v>
      </c>
      <c r="O62" s="180">
        <v>45669</v>
      </c>
      <c r="P62" s="177" t="s">
        <v>109</v>
      </c>
      <c r="Q62" s="177" t="s">
        <v>109</v>
      </c>
      <c r="R62" s="177" t="s">
        <v>109</v>
      </c>
      <c r="S62" s="177" t="s">
        <v>109</v>
      </c>
      <c r="T62" s="177" t="s">
        <v>116</v>
      </c>
      <c r="U62" s="177" t="s">
        <v>117</v>
      </c>
      <c r="V62" s="177" t="b">
        <v>0</v>
      </c>
      <c r="W62" s="177" t="s">
        <v>123</v>
      </c>
      <c r="X62" s="261"/>
      <c r="Y62" s="177">
        <v>1.49</v>
      </c>
      <c r="Z62" s="177" t="s">
        <v>109</v>
      </c>
      <c r="AA62" s="177" t="s">
        <v>109</v>
      </c>
      <c r="AB62" s="177" t="s">
        <v>109</v>
      </c>
      <c r="AC62" s="177">
        <v>4.3</v>
      </c>
      <c r="AD62" s="177" t="s">
        <v>598</v>
      </c>
      <c r="AE62" s="177" t="s">
        <v>538</v>
      </c>
      <c r="AF62" s="177">
        <v>1</v>
      </c>
      <c r="AG62" s="177">
        <v>7144</v>
      </c>
      <c r="AH62" s="177" t="s">
        <v>121</v>
      </c>
      <c r="AI62" s="177" t="b">
        <v>1</v>
      </c>
      <c r="AJ62" s="180" t="s">
        <v>599</v>
      </c>
      <c r="AK62" s="177" t="s">
        <v>122</v>
      </c>
      <c r="AL62" s="177">
        <v>2019</v>
      </c>
      <c r="AM62" s="177" t="s">
        <v>109</v>
      </c>
      <c r="AN62" s="177" t="b">
        <v>0</v>
      </c>
      <c r="AO62" s="177" t="s">
        <v>109</v>
      </c>
      <c r="AP62" s="177" t="s">
        <v>109</v>
      </c>
      <c r="AQ62" s="177" t="s">
        <v>109</v>
      </c>
      <c r="AR62" s="177" t="b">
        <v>0</v>
      </c>
      <c r="AS62" s="177" t="s">
        <v>123</v>
      </c>
      <c r="AT62" s="180" t="s">
        <v>123</v>
      </c>
      <c r="AU62" s="177" t="s">
        <v>124</v>
      </c>
      <c r="AV62" s="177" t="s">
        <v>109</v>
      </c>
      <c r="AW62" s="177" t="s">
        <v>226</v>
      </c>
      <c r="AX62" s="177" t="s">
        <v>118</v>
      </c>
      <c r="AY62" s="177" t="s">
        <v>135</v>
      </c>
      <c r="AZ62" s="177" t="s">
        <v>109</v>
      </c>
      <c r="BA62" s="177" t="s">
        <v>218</v>
      </c>
      <c r="BB62" s="177" t="s">
        <v>109</v>
      </c>
      <c r="BC62" s="177" t="s">
        <v>126</v>
      </c>
      <c r="BD62" s="177" t="s">
        <v>109</v>
      </c>
      <c r="BE62" s="180" t="s">
        <v>109</v>
      </c>
      <c r="BF62" s="180" t="s">
        <v>600</v>
      </c>
      <c r="BG62" s="180" t="s">
        <v>601</v>
      </c>
      <c r="BH62" s="177" t="s">
        <v>109</v>
      </c>
      <c r="BI62" s="177" t="s">
        <v>109</v>
      </c>
      <c r="BJ62" s="177" t="b">
        <v>0</v>
      </c>
      <c r="BK62" s="233">
        <v>135.66499999999999</v>
      </c>
      <c r="BL62" s="234" t="s">
        <v>128</v>
      </c>
      <c r="BM62" s="233">
        <v>1247.3706262410001</v>
      </c>
      <c r="BN62" s="233">
        <v>182.77423110000001</v>
      </c>
      <c r="BO62" s="233">
        <v>85.314678700000002</v>
      </c>
      <c r="BP62" s="233">
        <v>495.05391559999998</v>
      </c>
      <c r="BQ62" s="233">
        <v>51.188157400000001</v>
      </c>
      <c r="BR62" s="233">
        <v>212.69713200000001</v>
      </c>
      <c r="BS62" s="233">
        <v>0</v>
      </c>
      <c r="BT62" s="233">
        <v>0</v>
      </c>
      <c r="BU62" s="233">
        <v>0</v>
      </c>
      <c r="BV62" s="233">
        <v>0</v>
      </c>
      <c r="BW62" s="233">
        <v>0</v>
      </c>
      <c r="BX62" s="233">
        <v>0</v>
      </c>
      <c r="BY62" s="234">
        <v>0</v>
      </c>
      <c r="BZ62" s="236" t="s">
        <v>109</v>
      </c>
      <c r="CA62" s="236" t="s">
        <v>109</v>
      </c>
      <c r="CB62" s="236" t="s">
        <v>270</v>
      </c>
      <c r="CC62" s="233">
        <v>0</v>
      </c>
      <c r="CD62" s="233">
        <v>0</v>
      </c>
      <c r="CE62" s="233">
        <v>983.48533689999999</v>
      </c>
      <c r="CF62" s="233">
        <v>51.188157400000001</v>
      </c>
      <c r="CG62" s="233">
        <v>212.69713200000001</v>
      </c>
      <c r="CH62" s="233">
        <v>0</v>
      </c>
      <c r="CI62" s="233">
        <v>0</v>
      </c>
      <c r="CJ62" s="237">
        <v>0</v>
      </c>
      <c r="CK62" s="177" t="s">
        <v>128</v>
      </c>
      <c r="CL62" s="177" t="s">
        <v>128</v>
      </c>
      <c r="CM62" s="155" t="s">
        <v>109</v>
      </c>
      <c r="CN62" s="229">
        <v>0</v>
      </c>
      <c r="CO62" s="229">
        <v>0</v>
      </c>
      <c r="CP62" t="s">
        <v>480</v>
      </c>
      <c r="CR62" s="248"/>
    </row>
    <row r="63" spans="1:96" ht="14.4" x14ac:dyDescent="0.3">
      <c r="A63">
        <v>60</v>
      </c>
      <c r="B63" s="173" t="s">
        <v>602</v>
      </c>
      <c r="C63" s="259"/>
      <c r="D63" s="260"/>
      <c r="E63" t="s">
        <v>410</v>
      </c>
      <c r="F63" t="s">
        <v>603</v>
      </c>
      <c r="G63" s="177" t="s">
        <v>233</v>
      </c>
      <c r="H63" s="177" t="s">
        <v>112</v>
      </c>
      <c r="I63" s="177" t="s">
        <v>112</v>
      </c>
      <c r="J63" s="177" t="s">
        <v>109</v>
      </c>
      <c r="K63" s="177" t="s">
        <v>114</v>
      </c>
      <c r="L63" s="177" t="s">
        <v>207</v>
      </c>
      <c r="M63" s="177" t="s">
        <v>109</v>
      </c>
      <c r="N63" s="177" t="s">
        <v>109</v>
      </c>
      <c r="O63" s="180">
        <v>45685</v>
      </c>
      <c r="P63" s="177" t="s">
        <v>109</v>
      </c>
      <c r="Q63" s="177" t="s">
        <v>109</v>
      </c>
      <c r="R63" s="177" t="s">
        <v>109</v>
      </c>
      <c r="S63" s="177" t="s">
        <v>109</v>
      </c>
      <c r="T63" s="177" t="s">
        <v>116</v>
      </c>
      <c r="U63" s="177" t="s">
        <v>117</v>
      </c>
      <c r="V63" s="177" t="b">
        <v>0</v>
      </c>
      <c r="W63" s="177" t="s">
        <v>109</v>
      </c>
      <c r="X63" s="261"/>
      <c r="Y63" s="177" t="s">
        <v>604</v>
      </c>
      <c r="Z63" s="177" t="s">
        <v>118</v>
      </c>
      <c r="AA63" s="177" t="s">
        <v>605</v>
      </c>
      <c r="AB63" s="177" t="s">
        <v>109</v>
      </c>
      <c r="AC63" s="177">
        <v>4.3</v>
      </c>
      <c r="AD63" s="177" t="s">
        <v>606</v>
      </c>
      <c r="AE63" s="177" t="s">
        <v>538</v>
      </c>
      <c r="AF63" s="177">
        <v>1</v>
      </c>
      <c r="AG63" s="177">
        <v>7144</v>
      </c>
      <c r="AH63" s="177" t="s">
        <v>121</v>
      </c>
      <c r="AI63" s="177" t="b">
        <v>1</v>
      </c>
      <c r="AJ63" s="180" t="s">
        <v>607</v>
      </c>
      <c r="AK63" s="177" t="s">
        <v>122</v>
      </c>
      <c r="AL63" s="177">
        <v>2020</v>
      </c>
      <c r="AM63" s="177" t="s">
        <v>109</v>
      </c>
      <c r="AN63" s="179" t="b">
        <v>0</v>
      </c>
      <c r="AO63" s="177" t="s">
        <v>109</v>
      </c>
      <c r="AP63" s="177" t="s">
        <v>109</v>
      </c>
      <c r="AQ63" s="177" t="s">
        <v>109</v>
      </c>
      <c r="AR63" s="177" t="b">
        <v>0</v>
      </c>
      <c r="AS63" s="177" t="s">
        <v>123</v>
      </c>
      <c r="AT63" s="180" t="s">
        <v>109</v>
      </c>
      <c r="AU63" s="177" t="s">
        <v>124</v>
      </c>
      <c r="AV63" s="177" t="s">
        <v>109</v>
      </c>
      <c r="AW63" s="177" t="s">
        <v>195</v>
      </c>
      <c r="AX63" s="177" t="s">
        <v>109</v>
      </c>
      <c r="AY63" s="177" t="s">
        <v>135</v>
      </c>
      <c r="AZ63" s="177" t="s">
        <v>109</v>
      </c>
      <c r="BA63" s="177" t="s">
        <v>218</v>
      </c>
      <c r="BB63" s="177" t="s">
        <v>109</v>
      </c>
      <c r="BC63" s="177" t="s">
        <v>150</v>
      </c>
      <c r="BD63" s="177" t="s">
        <v>109</v>
      </c>
      <c r="BE63" s="180">
        <v>45692</v>
      </c>
      <c r="BF63" s="180">
        <v>45636</v>
      </c>
      <c r="BG63" s="180" t="s">
        <v>608</v>
      </c>
      <c r="BH63" s="177" t="s">
        <v>609</v>
      </c>
      <c r="BI63" s="177" t="s">
        <v>109</v>
      </c>
      <c r="BJ63" s="177" t="b">
        <v>1</v>
      </c>
      <c r="BK63" s="233">
        <v>3018.6850199999999</v>
      </c>
      <c r="BL63" s="234" t="s">
        <v>128</v>
      </c>
      <c r="BM63" s="236">
        <v>1700.81613439236</v>
      </c>
      <c r="BN63" s="236">
        <v>0</v>
      </c>
      <c r="BO63" s="236">
        <v>21.085507799999998</v>
      </c>
      <c r="BP63" s="236">
        <v>120.1882356</v>
      </c>
      <c r="BQ63" s="236">
        <v>297.38594169999999</v>
      </c>
      <c r="BR63" s="236">
        <v>1130.5869740000001</v>
      </c>
      <c r="BS63" s="236">
        <v>99.616028</v>
      </c>
      <c r="BT63" s="236">
        <v>31.953447300000001</v>
      </c>
      <c r="BU63" s="236">
        <v>0</v>
      </c>
      <c r="BV63" s="236">
        <v>0</v>
      </c>
      <c r="BW63" s="236">
        <v>0</v>
      </c>
      <c r="BX63" s="236">
        <v>0</v>
      </c>
      <c r="BY63" s="234">
        <v>1669</v>
      </c>
      <c r="BZ63" s="236" t="s">
        <v>109</v>
      </c>
      <c r="CA63" s="236" t="s">
        <v>109</v>
      </c>
      <c r="CB63" s="236">
        <v>2025</v>
      </c>
      <c r="CC63" s="236">
        <v>0</v>
      </c>
      <c r="CD63" s="236">
        <v>0</v>
      </c>
      <c r="CE63" s="236">
        <v>0</v>
      </c>
      <c r="CF63" s="236">
        <v>0</v>
      </c>
      <c r="CG63" s="236">
        <v>0</v>
      </c>
      <c r="CH63" s="236">
        <v>0</v>
      </c>
      <c r="CI63" s="236">
        <v>1700.8161344</v>
      </c>
      <c r="CJ63" s="237">
        <v>1</v>
      </c>
      <c r="CK63" s="177" t="s">
        <v>128</v>
      </c>
      <c r="CL63" s="177" t="s">
        <v>128</v>
      </c>
      <c r="CM63" s="155" t="s">
        <v>109</v>
      </c>
      <c r="CN63" s="229">
        <v>1</v>
      </c>
      <c r="CO63" s="229">
        <v>0</v>
      </c>
      <c r="CP63" t="s">
        <v>480</v>
      </c>
      <c r="CR63" s="248"/>
    </row>
    <row r="64" spans="1:96" ht="14.4" x14ac:dyDescent="0.3">
      <c r="A64">
        <v>61</v>
      </c>
      <c r="B64" s="173" t="s">
        <v>610</v>
      </c>
      <c r="C64" s="259"/>
      <c r="D64" s="260"/>
      <c r="E64" t="s">
        <v>410</v>
      </c>
      <c r="F64" t="s">
        <v>611</v>
      </c>
      <c r="G64" s="177" t="s">
        <v>233</v>
      </c>
      <c r="H64" s="177" t="s">
        <v>112</v>
      </c>
      <c r="I64" s="177" t="s">
        <v>112</v>
      </c>
      <c r="J64" s="177" t="s">
        <v>109</v>
      </c>
      <c r="K64" s="177" t="s">
        <v>114</v>
      </c>
      <c r="L64" s="177" t="s">
        <v>207</v>
      </c>
      <c r="M64" s="177" t="s">
        <v>109</v>
      </c>
      <c r="N64" s="177" t="s">
        <v>109</v>
      </c>
      <c r="O64" s="180">
        <v>45703</v>
      </c>
      <c r="P64" s="177" t="s">
        <v>109</v>
      </c>
      <c r="Q64" s="177" t="s">
        <v>109</v>
      </c>
      <c r="R64" s="177" t="s">
        <v>109</v>
      </c>
      <c r="S64" s="177" t="s">
        <v>109</v>
      </c>
      <c r="T64" s="177" t="s">
        <v>116</v>
      </c>
      <c r="U64" s="177" t="s">
        <v>117</v>
      </c>
      <c r="V64" s="177" t="b">
        <v>0</v>
      </c>
      <c r="W64" s="177" t="s">
        <v>109</v>
      </c>
      <c r="X64" s="261"/>
      <c r="Y64" s="177">
        <v>0.1</v>
      </c>
      <c r="Z64" s="177" t="s">
        <v>118</v>
      </c>
      <c r="AA64" s="177" t="s">
        <v>109</v>
      </c>
      <c r="AB64" s="177" t="s">
        <v>109</v>
      </c>
      <c r="AC64" s="177">
        <v>4.3</v>
      </c>
      <c r="AD64" s="177" t="s">
        <v>612</v>
      </c>
      <c r="AE64" s="177" t="s">
        <v>538</v>
      </c>
      <c r="AF64" s="177">
        <v>1</v>
      </c>
      <c r="AG64" s="177">
        <v>7144</v>
      </c>
      <c r="AH64" s="177" t="s">
        <v>121</v>
      </c>
      <c r="AI64" s="177" t="b">
        <v>1</v>
      </c>
      <c r="AJ64" s="180" t="s">
        <v>613</v>
      </c>
      <c r="AK64" s="177" t="s">
        <v>122</v>
      </c>
      <c r="AL64" s="177">
        <v>2023</v>
      </c>
      <c r="AM64" s="177" t="s">
        <v>109</v>
      </c>
      <c r="AN64" s="179" t="b">
        <v>0</v>
      </c>
      <c r="AO64" s="177" t="s">
        <v>109</v>
      </c>
      <c r="AP64" s="177" t="s">
        <v>109</v>
      </c>
      <c r="AQ64" s="177" t="s">
        <v>109</v>
      </c>
      <c r="AR64" s="177" t="b">
        <v>0</v>
      </c>
      <c r="AS64" s="177" t="s">
        <v>123</v>
      </c>
      <c r="AT64" s="180" t="s">
        <v>109</v>
      </c>
      <c r="AU64" s="177" t="s">
        <v>124</v>
      </c>
      <c r="AV64" s="177" t="s">
        <v>109</v>
      </c>
      <c r="AW64" s="177" t="s">
        <v>195</v>
      </c>
      <c r="AX64" s="177" t="s">
        <v>109</v>
      </c>
      <c r="AY64" s="177" t="s">
        <v>135</v>
      </c>
      <c r="AZ64" s="180">
        <v>44964</v>
      </c>
      <c r="BA64" s="177" t="s">
        <v>494</v>
      </c>
      <c r="BB64" s="177" t="s">
        <v>109</v>
      </c>
      <c r="BC64" s="177" t="s">
        <v>425</v>
      </c>
      <c r="BD64" s="177" t="s">
        <v>109</v>
      </c>
      <c r="BE64" s="180">
        <v>45946</v>
      </c>
      <c r="BF64" s="180">
        <v>45511</v>
      </c>
      <c r="BG64" s="180" t="s">
        <v>614</v>
      </c>
      <c r="BH64" s="177" t="s">
        <v>326</v>
      </c>
      <c r="BI64" s="177" t="s">
        <v>109</v>
      </c>
      <c r="BJ64" s="177" t="b">
        <v>1</v>
      </c>
      <c r="BK64" s="233">
        <v>2017.43958</v>
      </c>
      <c r="BL64" s="234" t="s">
        <v>128</v>
      </c>
      <c r="BM64" s="236">
        <v>1298.8222336715801</v>
      </c>
      <c r="BN64" s="236">
        <v>0</v>
      </c>
      <c r="BO64" s="236">
        <v>0</v>
      </c>
      <c r="BP64" s="236">
        <v>1.7024300000000001</v>
      </c>
      <c r="BQ64" s="236">
        <v>268.75472000000002</v>
      </c>
      <c r="BR64" s="236">
        <v>879.72001999999998</v>
      </c>
      <c r="BS64" s="236">
        <v>71.741572000000005</v>
      </c>
      <c r="BT64" s="236">
        <v>76.903491700000004</v>
      </c>
      <c r="BU64" s="236">
        <v>0</v>
      </c>
      <c r="BV64" s="236">
        <v>0</v>
      </c>
      <c r="BW64" s="236">
        <v>0</v>
      </c>
      <c r="BX64" s="236">
        <v>0</v>
      </c>
      <c r="BY64" s="234">
        <v>1222</v>
      </c>
      <c r="BZ64" s="236" t="s">
        <v>109</v>
      </c>
      <c r="CA64" s="236" t="s">
        <v>109</v>
      </c>
      <c r="CB64" s="236">
        <v>2025</v>
      </c>
      <c r="CC64" s="236">
        <v>0</v>
      </c>
      <c r="CD64" s="236">
        <v>0</v>
      </c>
      <c r="CE64" s="236">
        <v>0</v>
      </c>
      <c r="CF64" s="236">
        <v>0</v>
      </c>
      <c r="CG64" s="236">
        <v>0</v>
      </c>
      <c r="CH64" s="236">
        <v>0</v>
      </c>
      <c r="CI64" s="236">
        <v>1298.8222337</v>
      </c>
      <c r="CJ64" s="177" t="s">
        <v>128</v>
      </c>
      <c r="CK64" s="177" t="s">
        <v>128</v>
      </c>
      <c r="CL64" s="177" t="s">
        <v>128</v>
      </c>
      <c r="CM64" s="155" t="s">
        <v>109</v>
      </c>
      <c r="CN64" s="229">
        <v>0</v>
      </c>
      <c r="CO64" s="229">
        <v>0</v>
      </c>
      <c r="CP64" t="s">
        <v>155</v>
      </c>
      <c r="CR64" s="248"/>
    </row>
    <row r="65" spans="1:96" ht="14.4" x14ac:dyDescent="0.3">
      <c r="A65">
        <v>62</v>
      </c>
      <c r="B65" s="173" t="s">
        <v>615</v>
      </c>
      <c r="C65" s="259"/>
      <c r="D65" s="260"/>
      <c r="E65" t="s">
        <v>410</v>
      </c>
      <c r="F65" t="s">
        <v>616</v>
      </c>
      <c r="G65" s="177" t="s">
        <v>233</v>
      </c>
      <c r="H65" s="177" t="s">
        <v>112</v>
      </c>
      <c r="I65" s="177" t="s">
        <v>112</v>
      </c>
      <c r="J65" s="177" t="s">
        <v>109</v>
      </c>
      <c r="K65" s="177" t="s">
        <v>114</v>
      </c>
      <c r="L65" s="177" t="s">
        <v>207</v>
      </c>
      <c r="M65" s="177" t="s">
        <v>109</v>
      </c>
      <c r="N65" s="177" t="s">
        <v>109</v>
      </c>
      <c r="O65" s="180">
        <v>45703</v>
      </c>
      <c r="P65" s="177" t="s">
        <v>109</v>
      </c>
      <c r="Q65" s="177" t="s">
        <v>109</v>
      </c>
      <c r="R65" s="177" t="s">
        <v>109</v>
      </c>
      <c r="S65" s="177" t="s">
        <v>109</v>
      </c>
      <c r="T65" s="177" t="s">
        <v>116</v>
      </c>
      <c r="U65" s="177" t="s">
        <v>117</v>
      </c>
      <c r="V65" s="177" t="b">
        <v>0</v>
      </c>
      <c r="W65" s="177" t="s">
        <v>109</v>
      </c>
      <c r="X65" s="261"/>
      <c r="Y65" s="177" t="s">
        <v>617</v>
      </c>
      <c r="Z65" s="177" t="s">
        <v>118</v>
      </c>
      <c r="AA65" s="177" t="s">
        <v>109</v>
      </c>
      <c r="AB65" s="177" t="s">
        <v>109</v>
      </c>
      <c r="AC65" s="177">
        <v>4.3</v>
      </c>
      <c r="AD65" s="177" t="s">
        <v>618</v>
      </c>
      <c r="AE65" s="177" t="s">
        <v>538</v>
      </c>
      <c r="AF65" s="177">
        <v>1</v>
      </c>
      <c r="AG65" s="177">
        <v>7144</v>
      </c>
      <c r="AH65" s="177" t="s">
        <v>121</v>
      </c>
      <c r="AI65" s="177" t="b">
        <v>1</v>
      </c>
      <c r="AJ65" s="180">
        <v>44391</v>
      </c>
      <c r="AK65" s="177" t="s">
        <v>122</v>
      </c>
      <c r="AL65" s="177">
        <v>2022</v>
      </c>
      <c r="AM65" s="177" t="s">
        <v>109</v>
      </c>
      <c r="AN65" s="179" t="b">
        <v>0</v>
      </c>
      <c r="AO65" s="177" t="s">
        <v>109</v>
      </c>
      <c r="AP65" s="177" t="s">
        <v>109</v>
      </c>
      <c r="AQ65" s="177" t="s">
        <v>109</v>
      </c>
      <c r="AR65" s="177" t="b">
        <v>0</v>
      </c>
      <c r="AS65" s="177" t="s">
        <v>123</v>
      </c>
      <c r="AT65" s="180" t="s">
        <v>109</v>
      </c>
      <c r="AU65" s="177" t="s">
        <v>124</v>
      </c>
      <c r="AV65" s="177" t="s">
        <v>109</v>
      </c>
      <c r="AW65" s="177" t="s">
        <v>195</v>
      </c>
      <c r="AX65" s="177" t="s">
        <v>109</v>
      </c>
      <c r="AY65" s="177" t="s">
        <v>135</v>
      </c>
      <c r="AZ65" s="177" t="s">
        <v>109</v>
      </c>
      <c r="BA65" s="177" t="s">
        <v>125</v>
      </c>
      <c r="BB65" s="177" t="s">
        <v>109</v>
      </c>
      <c r="BC65" s="177" t="s">
        <v>425</v>
      </c>
      <c r="BD65" s="177" t="s">
        <v>109</v>
      </c>
      <c r="BE65" s="180">
        <v>46233</v>
      </c>
      <c r="BF65" s="180">
        <v>45270</v>
      </c>
      <c r="BG65" s="180" t="s">
        <v>619</v>
      </c>
      <c r="BH65" s="177" t="s">
        <v>109</v>
      </c>
      <c r="BI65" s="177" t="s">
        <v>109</v>
      </c>
      <c r="BJ65" s="177" t="b">
        <v>1</v>
      </c>
      <c r="BK65" s="233">
        <v>382.18923999999998</v>
      </c>
      <c r="BL65" s="234" t="s">
        <v>128</v>
      </c>
      <c r="BM65" s="236">
        <v>1317.98377450051</v>
      </c>
      <c r="BN65" s="236">
        <v>0</v>
      </c>
      <c r="BO65" s="236">
        <v>0.231632</v>
      </c>
      <c r="BP65" s="236">
        <v>57.489434199999998</v>
      </c>
      <c r="BQ65" s="236">
        <v>295.99449679999998</v>
      </c>
      <c r="BR65" s="236">
        <v>475.50314600000002</v>
      </c>
      <c r="BS65" s="236">
        <v>391.556894</v>
      </c>
      <c r="BT65" s="236">
        <v>82.190942299999904</v>
      </c>
      <c r="BU65" s="236">
        <v>15.017229199999999</v>
      </c>
      <c r="BV65" s="236">
        <v>0</v>
      </c>
      <c r="BW65" s="236">
        <v>0</v>
      </c>
      <c r="BX65" s="236">
        <v>0</v>
      </c>
      <c r="BY65" s="234">
        <v>1221</v>
      </c>
      <c r="BZ65" s="236" t="s">
        <v>109</v>
      </c>
      <c r="CA65" s="236" t="s">
        <v>109</v>
      </c>
      <c r="CB65" s="236">
        <v>2025</v>
      </c>
      <c r="CC65" s="236">
        <v>0</v>
      </c>
      <c r="CD65" s="236">
        <v>0</v>
      </c>
      <c r="CE65" s="236">
        <v>0</v>
      </c>
      <c r="CF65" s="236">
        <v>0</v>
      </c>
      <c r="CG65" s="236">
        <v>0</v>
      </c>
      <c r="CH65" s="236">
        <v>0</v>
      </c>
      <c r="CI65" s="236">
        <v>-3.1956999999999999E-2</v>
      </c>
      <c r="CJ65" s="177" t="s">
        <v>128</v>
      </c>
      <c r="CK65" s="177" t="s">
        <v>128</v>
      </c>
      <c r="CL65" s="177" t="s">
        <v>128</v>
      </c>
      <c r="CM65" s="155" t="s">
        <v>109</v>
      </c>
      <c r="CN65" s="229">
        <v>0</v>
      </c>
      <c r="CO65" s="229">
        <v>0</v>
      </c>
      <c r="CP65" t="s">
        <v>155</v>
      </c>
      <c r="CR65" s="248"/>
    </row>
    <row r="66" spans="1:96" ht="14.4" x14ac:dyDescent="0.3">
      <c r="A66">
        <v>63</v>
      </c>
      <c r="B66" s="173" t="s">
        <v>620</v>
      </c>
      <c r="C66" s="259"/>
      <c r="D66" s="260"/>
      <c r="E66" t="s">
        <v>621</v>
      </c>
      <c r="F66" t="s">
        <v>622</v>
      </c>
      <c r="G66" s="177" t="s">
        <v>233</v>
      </c>
      <c r="H66" s="177" t="s">
        <v>112</v>
      </c>
      <c r="I66" s="177" t="s">
        <v>112</v>
      </c>
      <c r="J66" s="177" t="s">
        <v>109</v>
      </c>
      <c r="K66" s="177" t="s">
        <v>114</v>
      </c>
      <c r="L66" s="177" t="s">
        <v>207</v>
      </c>
      <c r="M66" s="177" t="s">
        <v>109</v>
      </c>
      <c r="N66" s="177" t="s">
        <v>109</v>
      </c>
      <c r="O66" s="180">
        <v>45685</v>
      </c>
      <c r="P66" s="177" t="s">
        <v>109</v>
      </c>
      <c r="Q66" s="177" t="s">
        <v>109</v>
      </c>
      <c r="R66" s="177" t="s">
        <v>109</v>
      </c>
      <c r="S66" s="177" t="s">
        <v>109</v>
      </c>
      <c r="T66" s="177" t="s">
        <v>116</v>
      </c>
      <c r="U66" s="177" t="s">
        <v>117</v>
      </c>
      <c r="V66" s="177" t="b">
        <v>0</v>
      </c>
      <c r="W66" s="177" t="s">
        <v>109</v>
      </c>
      <c r="X66" s="261"/>
      <c r="Y66" s="177" t="s">
        <v>623</v>
      </c>
      <c r="Z66" s="177" t="s">
        <v>118</v>
      </c>
      <c r="AA66" s="177" t="s">
        <v>109</v>
      </c>
      <c r="AB66" s="177" t="s">
        <v>109</v>
      </c>
      <c r="AC66" s="177">
        <v>4.3</v>
      </c>
      <c r="AD66" s="177" t="s">
        <v>624</v>
      </c>
      <c r="AE66" s="177" t="s">
        <v>538</v>
      </c>
      <c r="AF66" s="177">
        <v>1</v>
      </c>
      <c r="AG66" s="177">
        <v>7144</v>
      </c>
      <c r="AH66" s="177" t="s">
        <v>121</v>
      </c>
      <c r="AI66" s="177" t="b">
        <v>1</v>
      </c>
      <c r="AJ66" s="180">
        <v>43838</v>
      </c>
      <c r="AK66" s="177" t="s">
        <v>122</v>
      </c>
      <c r="AL66" s="177">
        <v>2020</v>
      </c>
      <c r="AM66" s="177" t="s">
        <v>109</v>
      </c>
      <c r="AN66" s="179" t="b">
        <v>0</v>
      </c>
      <c r="AO66" s="177" t="s">
        <v>109</v>
      </c>
      <c r="AP66" s="177" t="s">
        <v>109</v>
      </c>
      <c r="AQ66" s="177" t="s">
        <v>109</v>
      </c>
      <c r="AR66" s="177" t="b">
        <v>0</v>
      </c>
      <c r="AS66" s="177" t="s">
        <v>123</v>
      </c>
      <c r="AT66" s="180" t="s">
        <v>109</v>
      </c>
      <c r="AU66" s="177" t="s">
        <v>124</v>
      </c>
      <c r="AV66" s="177" t="s">
        <v>109</v>
      </c>
      <c r="AW66" s="177" t="s">
        <v>195</v>
      </c>
      <c r="AX66" s="177" t="s">
        <v>109</v>
      </c>
      <c r="AY66" s="177" t="s">
        <v>135</v>
      </c>
      <c r="AZ66" s="177" t="s">
        <v>109</v>
      </c>
      <c r="BA66" s="177" t="s">
        <v>218</v>
      </c>
      <c r="BB66" s="177" t="s">
        <v>109</v>
      </c>
      <c r="BC66" s="177" t="s">
        <v>546</v>
      </c>
      <c r="BD66" s="177" t="s">
        <v>109</v>
      </c>
      <c r="BE66" s="180">
        <v>46675</v>
      </c>
      <c r="BF66" s="180">
        <v>45361</v>
      </c>
      <c r="BG66" s="180" t="s">
        <v>625</v>
      </c>
      <c r="BH66" s="177" t="s">
        <v>109</v>
      </c>
      <c r="BI66" s="177" t="s">
        <v>109</v>
      </c>
      <c r="BJ66" s="177" t="b">
        <v>1</v>
      </c>
      <c r="BK66" s="233">
        <v>5140.4960000000001</v>
      </c>
      <c r="BL66" s="234" t="s">
        <v>128</v>
      </c>
      <c r="BM66" s="236">
        <v>2304.3815289593699</v>
      </c>
      <c r="BN66" s="236">
        <v>111.969577</v>
      </c>
      <c r="BO66" s="236">
        <v>87.8171447</v>
      </c>
      <c r="BP66" s="236">
        <v>206.99256919999999</v>
      </c>
      <c r="BQ66" s="236">
        <v>1.0593286</v>
      </c>
      <c r="BR66" s="236">
        <v>1261.672</v>
      </c>
      <c r="BS66" s="236">
        <v>101.499066</v>
      </c>
      <c r="BT66" s="236">
        <v>122.0048444</v>
      </c>
      <c r="BU66" s="236">
        <v>175.7749713</v>
      </c>
      <c r="BV66" s="236">
        <v>192.0142706</v>
      </c>
      <c r="BW66" s="236">
        <v>43.577757200000001</v>
      </c>
      <c r="BX66" s="236">
        <v>0</v>
      </c>
      <c r="BY66" s="234">
        <v>1771</v>
      </c>
      <c r="BZ66" s="236" t="s">
        <v>109</v>
      </c>
      <c r="CA66" s="236" t="s">
        <v>109</v>
      </c>
      <c r="CB66" s="236">
        <v>2025</v>
      </c>
      <c r="CC66" s="236">
        <v>0</v>
      </c>
      <c r="CD66" s="236">
        <v>0</v>
      </c>
      <c r="CE66" s="236">
        <v>0</v>
      </c>
      <c r="CF66" s="236">
        <v>0</v>
      </c>
      <c r="CG66" s="236">
        <v>0</v>
      </c>
      <c r="CH66" s="236">
        <v>0</v>
      </c>
      <c r="CI66" s="236">
        <v>-9.5823745000000002</v>
      </c>
      <c r="CJ66" s="177" t="s">
        <v>128</v>
      </c>
      <c r="CK66" s="177" t="s">
        <v>128</v>
      </c>
      <c r="CL66" s="177" t="s">
        <v>128</v>
      </c>
      <c r="CM66" s="155" t="s">
        <v>109</v>
      </c>
      <c r="CN66" s="229">
        <v>0</v>
      </c>
      <c r="CO66" s="229">
        <v>0</v>
      </c>
      <c r="CP66" t="s">
        <v>480</v>
      </c>
      <c r="CR66" s="248"/>
    </row>
    <row r="67" spans="1:96" ht="14.4" x14ac:dyDescent="0.3">
      <c r="A67">
        <v>64</v>
      </c>
      <c r="B67" s="173" t="s">
        <v>626</v>
      </c>
      <c r="C67" s="259"/>
      <c r="D67" s="260"/>
      <c r="E67" t="s">
        <v>410</v>
      </c>
      <c r="F67" t="s">
        <v>627</v>
      </c>
      <c r="G67" s="177" t="s">
        <v>233</v>
      </c>
      <c r="H67" s="177" t="s">
        <v>112</v>
      </c>
      <c r="I67" s="177" t="s">
        <v>112</v>
      </c>
      <c r="J67" s="177" t="s">
        <v>109</v>
      </c>
      <c r="K67" s="177" t="s">
        <v>114</v>
      </c>
      <c r="L67" s="177" t="s">
        <v>207</v>
      </c>
      <c r="M67" s="177" t="s">
        <v>109</v>
      </c>
      <c r="N67" s="177" t="s">
        <v>109</v>
      </c>
      <c r="O67" s="180">
        <v>45703</v>
      </c>
      <c r="P67" s="177" t="s">
        <v>109</v>
      </c>
      <c r="Q67" s="177" t="s">
        <v>109</v>
      </c>
      <c r="R67" s="177" t="s">
        <v>109</v>
      </c>
      <c r="S67" s="177" t="s">
        <v>109</v>
      </c>
      <c r="T67" s="177" t="s">
        <v>116</v>
      </c>
      <c r="U67" s="177" t="s">
        <v>117</v>
      </c>
      <c r="V67" s="177" t="b">
        <v>0</v>
      </c>
      <c r="W67" s="177" t="s">
        <v>109</v>
      </c>
      <c r="X67" s="261"/>
      <c r="Y67" s="177">
        <v>2.48</v>
      </c>
      <c r="Z67" s="177" t="s">
        <v>118</v>
      </c>
      <c r="AA67" s="177" t="s">
        <v>109</v>
      </c>
      <c r="AB67" s="177" t="s">
        <v>109</v>
      </c>
      <c r="AC67" s="177">
        <v>4.3</v>
      </c>
      <c r="AD67" s="177" t="s">
        <v>628</v>
      </c>
      <c r="AE67" s="177" t="s">
        <v>538</v>
      </c>
      <c r="AF67" s="177">
        <v>1</v>
      </c>
      <c r="AG67" s="177">
        <v>7144</v>
      </c>
      <c r="AH67" s="177" t="s">
        <v>121</v>
      </c>
      <c r="AI67" s="177" t="b">
        <v>1</v>
      </c>
      <c r="AJ67" s="180">
        <v>43871</v>
      </c>
      <c r="AK67" s="177" t="s">
        <v>122</v>
      </c>
      <c r="AL67" s="177">
        <v>2019</v>
      </c>
      <c r="AM67" s="177" t="s">
        <v>109</v>
      </c>
      <c r="AN67" s="179" t="b">
        <v>0</v>
      </c>
      <c r="AO67" s="177" t="s">
        <v>109</v>
      </c>
      <c r="AP67" s="177" t="s">
        <v>109</v>
      </c>
      <c r="AQ67" s="177" t="s">
        <v>109</v>
      </c>
      <c r="AR67" s="177" t="b">
        <v>0</v>
      </c>
      <c r="AS67" s="177" t="s">
        <v>123</v>
      </c>
      <c r="AT67" s="180" t="s">
        <v>109</v>
      </c>
      <c r="AU67" s="177" t="s">
        <v>124</v>
      </c>
      <c r="AV67" s="177" t="s">
        <v>109</v>
      </c>
      <c r="AW67" s="177" t="s">
        <v>195</v>
      </c>
      <c r="AX67" s="177" t="s">
        <v>109</v>
      </c>
      <c r="AY67" s="177" t="s">
        <v>135</v>
      </c>
      <c r="AZ67" s="177" t="s">
        <v>109</v>
      </c>
      <c r="BA67" s="177" t="s">
        <v>125</v>
      </c>
      <c r="BB67" s="177" t="s">
        <v>109</v>
      </c>
      <c r="BC67" s="177" t="s">
        <v>397</v>
      </c>
      <c r="BD67" s="177" t="s">
        <v>109</v>
      </c>
      <c r="BE67" s="180" t="s">
        <v>109</v>
      </c>
      <c r="BF67" s="180">
        <v>44941</v>
      </c>
      <c r="BG67" s="180" t="s">
        <v>586</v>
      </c>
      <c r="BH67" s="177" t="s">
        <v>109</v>
      </c>
      <c r="BI67" s="177" t="s">
        <v>109</v>
      </c>
      <c r="BJ67" s="177" t="b">
        <v>0</v>
      </c>
      <c r="BK67" s="233">
        <v>1940.972</v>
      </c>
      <c r="BL67" s="234" t="s">
        <v>128</v>
      </c>
      <c r="BM67" s="236">
        <v>2530.9498727390101</v>
      </c>
      <c r="BN67" s="236">
        <v>3.5497709999999998</v>
      </c>
      <c r="BO67" s="236">
        <v>146.66745560000001</v>
      </c>
      <c r="BP67" s="236">
        <v>143.90656060000001</v>
      </c>
      <c r="BQ67" s="236">
        <v>0.76997709999999997</v>
      </c>
      <c r="BR67" s="236">
        <v>1504.964784</v>
      </c>
      <c r="BS67" s="236">
        <v>13.51521</v>
      </c>
      <c r="BT67" s="236">
        <v>129.7124852</v>
      </c>
      <c r="BU67" s="236">
        <v>186.8795331</v>
      </c>
      <c r="BV67" s="236">
        <v>204.14474799999999</v>
      </c>
      <c r="BW67" s="236">
        <v>82.830764700000003</v>
      </c>
      <c r="BX67" s="236">
        <v>0</v>
      </c>
      <c r="BY67" s="234">
        <v>1927.3823417390099</v>
      </c>
      <c r="BZ67" s="236" t="s">
        <v>109</v>
      </c>
      <c r="CA67" s="236" t="s">
        <v>109</v>
      </c>
      <c r="CB67" s="236" t="s">
        <v>109</v>
      </c>
      <c r="CC67" s="236">
        <v>0</v>
      </c>
      <c r="CD67" s="236">
        <v>0</v>
      </c>
      <c r="CE67" s="236">
        <v>0</v>
      </c>
      <c r="CF67" s="236">
        <v>0</v>
      </c>
      <c r="CG67" s="236">
        <v>0</v>
      </c>
      <c r="CH67" s="236">
        <v>0</v>
      </c>
      <c r="CI67" s="236">
        <v>0</v>
      </c>
      <c r="CJ67" s="177" t="s">
        <v>128</v>
      </c>
      <c r="CK67" s="177" t="s">
        <v>128</v>
      </c>
      <c r="CL67" s="177" t="s">
        <v>128</v>
      </c>
      <c r="CM67" s="155" t="s">
        <v>109</v>
      </c>
      <c r="CN67" s="229">
        <v>0</v>
      </c>
      <c r="CO67" s="229">
        <v>0</v>
      </c>
      <c r="CP67" t="s">
        <v>155</v>
      </c>
      <c r="CR67" s="248"/>
    </row>
    <row r="68" spans="1:96" ht="14.4" x14ac:dyDescent="0.3">
      <c r="A68">
        <v>65</v>
      </c>
      <c r="B68" s="173" t="s">
        <v>629</v>
      </c>
      <c r="C68" s="259"/>
      <c r="D68" s="260"/>
      <c r="E68" t="s">
        <v>410</v>
      </c>
      <c r="F68" t="s">
        <v>630</v>
      </c>
      <c r="G68" s="177" t="s">
        <v>233</v>
      </c>
      <c r="H68" s="177" t="s">
        <v>112</v>
      </c>
      <c r="I68" s="177" t="s">
        <v>112</v>
      </c>
      <c r="J68" s="177" t="s">
        <v>109</v>
      </c>
      <c r="K68" s="177" t="s">
        <v>114</v>
      </c>
      <c r="L68" s="177" t="s">
        <v>207</v>
      </c>
      <c r="M68" s="177" t="s">
        <v>109</v>
      </c>
      <c r="N68" s="177" t="s">
        <v>109</v>
      </c>
      <c r="O68" s="180">
        <v>45713</v>
      </c>
      <c r="P68" s="177" t="s">
        <v>109</v>
      </c>
      <c r="Q68" s="177" t="s">
        <v>109</v>
      </c>
      <c r="R68" s="177" t="s">
        <v>109</v>
      </c>
      <c r="S68" s="177" t="s">
        <v>109</v>
      </c>
      <c r="T68" s="177" t="s">
        <v>116</v>
      </c>
      <c r="U68" s="177" t="s">
        <v>117</v>
      </c>
      <c r="V68" s="177" t="b">
        <v>0</v>
      </c>
      <c r="W68" s="177" t="s">
        <v>109</v>
      </c>
      <c r="X68" s="261"/>
      <c r="Y68" s="177">
        <v>3.19</v>
      </c>
      <c r="Z68" s="177" t="s">
        <v>118</v>
      </c>
      <c r="AA68" s="177" t="s">
        <v>109</v>
      </c>
      <c r="AB68" s="177" t="s">
        <v>109</v>
      </c>
      <c r="AC68" s="177">
        <v>4.3</v>
      </c>
      <c r="AD68" s="177" t="s">
        <v>631</v>
      </c>
      <c r="AE68" s="177" t="s">
        <v>538</v>
      </c>
      <c r="AF68" s="177">
        <v>1</v>
      </c>
      <c r="AG68" s="177">
        <v>7144</v>
      </c>
      <c r="AH68" s="177" t="s">
        <v>121</v>
      </c>
      <c r="AI68" s="177" t="b">
        <v>1</v>
      </c>
      <c r="AJ68" s="180" t="s">
        <v>632</v>
      </c>
      <c r="AK68" s="177" t="s">
        <v>122</v>
      </c>
      <c r="AL68" s="177">
        <v>2019</v>
      </c>
      <c r="AM68" s="177" t="s">
        <v>109</v>
      </c>
      <c r="AN68" s="179" t="b">
        <v>0</v>
      </c>
      <c r="AO68" s="177" t="s">
        <v>109</v>
      </c>
      <c r="AP68" s="177" t="s">
        <v>109</v>
      </c>
      <c r="AQ68" s="177" t="s">
        <v>109</v>
      </c>
      <c r="AR68" s="177" t="b">
        <v>0</v>
      </c>
      <c r="AS68" s="177" t="s">
        <v>123</v>
      </c>
      <c r="AT68" s="180" t="s">
        <v>109</v>
      </c>
      <c r="AU68" s="177" t="s">
        <v>124</v>
      </c>
      <c r="AV68" s="177" t="s">
        <v>109</v>
      </c>
      <c r="AW68" s="177" t="s">
        <v>195</v>
      </c>
      <c r="AX68" s="177" t="s">
        <v>109</v>
      </c>
      <c r="AY68" s="177" t="s">
        <v>135</v>
      </c>
      <c r="AZ68" s="177" t="s">
        <v>109</v>
      </c>
      <c r="BA68" s="177" t="s">
        <v>218</v>
      </c>
      <c r="BB68" s="177" t="s">
        <v>109</v>
      </c>
      <c r="BC68" s="177" t="s">
        <v>397</v>
      </c>
      <c r="BD68" s="177" t="s">
        <v>109</v>
      </c>
      <c r="BE68" s="180" t="s">
        <v>109</v>
      </c>
      <c r="BF68" s="180">
        <v>44936</v>
      </c>
      <c r="BG68" s="180" t="s">
        <v>633</v>
      </c>
      <c r="BH68" s="177" t="s">
        <v>109</v>
      </c>
      <c r="BI68" s="177" t="s">
        <v>109</v>
      </c>
      <c r="BJ68" s="177" t="b">
        <v>0</v>
      </c>
      <c r="BK68" s="233">
        <v>2794.924</v>
      </c>
      <c r="BL68" s="234" t="s">
        <v>128</v>
      </c>
      <c r="BM68" s="236">
        <v>1746.19047662206</v>
      </c>
      <c r="BN68" s="236">
        <v>2.0404825999999998</v>
      </c>
      <c r="BO68" s="236">
        <v>65.474187700000002</v>
      </c>
      <c r="BP68" s="236">
        <v>135.39976129999999</v>
      </c>
      <c r="BQ68" s="236">
        <v>81.899791500000006</v>
      </c>
      <c r="BR68" s="236">
        <v>1186.1884259999999</v>
      </c>
      <c r="BS68" s="236">
        <v>5.3228099999999996</v>
      </c>
      <c r="BT68" s="236">
        <v>110.8232143</v>
      </c>
      <c r="BU68" s="236">
        <v>33.171537299999997</v>
      </c>
      <c r="BV68" s="236">
        <v>0</v>
      </c>
      <c r="BW68" s="236">
        <v>0</v>
      </c>
      <c r="BX68" s="236">
        <v>0</v>
      </c>
      <c r="BY68" s="234">
        <v>1602.1957250220601</v>
      </c>
      <c r="BZ68" s="236" t="s">
        <v>109</v>
      </c>
      <c r="CA68" s="236" t="s">
        <v>109</v>
      </c>
      <c r="CB68" s="236" t="s">
        <v>109</v>
      </c>
      <c r="CC68" s="236">
        <v>0</v>
      </c>
      <c r="CD68" s="236">
        <v>0</v>
      </c>
      <c r="CE68" s="236">
        <v>0</v>
      </c>
      <c r="CF68" s="236">
        <v>0</v>
      </c>
      <c r="CG68" s="236">
        <v>0</v>
      </c>
      <c r="CH68" s="236">
        <v>0</v>
      </c>
      <c r="CI68" s="236">
        <v>0</v>
      </c>
      <c r="CJ68" s="177" t="s">
        <v>128</v>
      </c>
      <c r="CK68" s="177" t="s">
        <v>128</v>
      </c>
      <c r="CL68" s="177" t="s">
        <v>128</v>
      </c>
      <c r="CM68" s="155" t="s">
        <v>109</v>
      </c>
      <c r="CN68" s="229">
        <v>0</v>
      </c>
      <c r="CO68" s="229">
        <v>0</v>
      </c>
      <c r="CP68" t="s">
        <v>449</v>
      </c>
      <c r="CR68" s="248"/>
    </row>
    <row r="69" spans="1:96" ht="14.4" x14ac:dyDescent="0.3">
      <c r="A69">
        <v>66</v>
      </c>
      <c r="B69" s="173" t="s">
        <v>634</v>
      </c>
      <c r="C69" s="259"/>
      <c r="D69" s="260"/>
      <c r="E69" t="s">
        <v>635</v>
      </c>
      <c r="F69" t="s">
        <v>636</v>
      </c>
      <c r="G69" s="177" t="s">
        <v>233</v>
      </c>
      <c r="H69" s="177" t="s">
        <v>112</v>
      </c>
      <c r="I69" s="177" t="s">
        <v>112</v>
      </c>
      <c r="J69" s="177" t="s">
        <v>109</v>
      </c>
      <c r="K69" s="177" t="s">
        <v>114</v>
      </c>
      <c r="L69" s="177" t="s">
        <v>207</v>
      </c>
      <c r="M69" s="177" t="s">
        <v>109</v>
      </c>
      <c r="N69" s="177" t="s">
        <v>109</v>
      </c>
      <c r="O69" s="182">
        <v>45792</v>
      </c>
      <c r="P69" s="177" t="s">
        <v>109</v>
      </c>
      <c r="Q69" s="177" t="s">
        <v>109</v>
      </c>
      <c r="R69" s="177" t="s">
        <v>109</v>
      </c>
      <c r="S69" s="177" t="s">
        <v>109</v>
      </c>
      <c r="T69" s="177" t="s">
        <v>116</v>
      </c>
      <c r="U69" s="177" t="s">
        <v>117</v>
      </c>
      <c r="V69" s="177" t="b">
        <v>0</v>
      </c>
      <c r="W69" s="177" t="s">
        <v>109</v>
      </c>
      <c r="X69" s="261"/>
      <c r="Y69" s="177" t="s">
        <v>637</v>
      </c>
      <c r="Z69" s="177" t="s">
        <v>118</v>
      </c>
      <c r="AA69" s="177" t="s">
        <v>109</v>
      </c>
      <c r="AB69" s="177" t="s">
        <v>109</v>
      </c>
      <c r="AC69" s="177">
        <v>4.3</v>
      </c>
      <c r="AD69" s="177" t="s">
        <v>638</v>
      </c>
      <c r="AE69" s="177" t="s">
        <v>538</v>
      </c>
      <c r="AF69" s="177">
        <v>1</v>
      </c>
      <c r="AG69" s="177">
        <v>7144</v>
      </c>
      <c r="AH69" s="177" t="s">
        <v>121</v>
      </c>
      <c r="AI69" s="177" t="b">
        <v>1</v>
      </c>
      <c r="AJ69" s="180" t="s">
        <v>639</v>
      </c>
      <c r="AK69" s="177" t="s">
        <v>122</v>
      </c>
      <c r="AL69" s="177">
        <v>2019</v>
      </c>
      <c r="AM69" s="177" t="s">
        <v>109</v>
      </c>
      <c r="AN69" s="179" t="b">
        <v>0</v>
      </c>
      <c r="AO69" s="177" t="s">
        <v>109</v>
      </c>
      <c r="AP69" s="177" t="s">
        <v>109</v>
      </c>
      <c r="AQ69" s="177" t="s">
        <v>109</v>
      </c>
      <c r="AR69" s="177" t="b">
        <v>0</v>
      </c>
      <c r="AS69" s="177" t="s">
        <v>123</v>
      </c>
      <c r="AT69" s="180" t="s">
        <v>109</v>
      </c>
      <c r="AU69" s="177" t="s">
        <v>124</v>
      </c>
      <c r="AV69" s="177" t="s">
        <v>109</v>
      </c>
      <c r="AW69" s="177" t="s">
        <v>195</v>
      </c>
      <c r="AX69" s="177" t="s">
        <v>109</v>
      </c>
      <c r="AY69" s="177" t="s">
        <v>135</v>
      </c>
      <c r="AZ69" s="177" t="s">
        <v>109</v>
      </c>
      <c r="BA69" s="177" t="s">
        <v>125</v>
      </c>
      <c r="BB69" s="177" t="s">
        <v>109</v>
      </c>
      <c r="BC69" s="177" t="s">
        <v>397</v>
      </c>
      <c r="BD69" s="177" t="s">
        <v>109</v>
      </c>
      <c r="BE69" s="180" t="s">
        <v>109</v>
      </c>
      <c r="BF69" s="180">
        <v>45628</v>
      </c>
      <c r="BG69" s="180" t="s">
        <v>640</v>
      </c>
      <c r="BH69" s="177" t="s">
        <v>109</v>
      </c>
      <c r="BI69" s="177" t="s">
        <v>109</v>
      </c>
      <c r="BJ69" s="177" t="b">
        <v>0</v>
      </c>
      <c r="BK69" s="233">
        <v>3133.9830000000002</v>
      </c>
      <c r="BL69" s="234" t="s">
        <v>128</v>
      </c>
      <c r="BM69" s="236">
        <v>1724.9142267171901</v>
      </c>
      <c r="BN69" s="236">
        <v>1.9202096</v>
      </c>
      <c r="BO69" s="236">
        <v>38.645683599999998</v>
      </c>
      <c r="BP69" s="236">
        <v>361.09165960000001</v>
      </c>
      <c r="BQ69" s="236">
        <v>74.775636899999995</v>
      </c>
      <c r="BR69" s="236">
        <v>898.54800799999998</v>
      </c>
      <c r="BS69" s="236">
        <v>-35.267000000000003</v>
      </c>
      <c r="BT69" s="236">
        <v>101.3345053</v>
      </c>
      <c r="BU69" s="236">
        <v>145.99477450000001</v>
      </c>
      <c r="BV69" s="236">
        <v>20.225518900000001</v>
      </c>
      <c r="BW69" s="236">
        <v>0</v>
      </c>
      <c r="BX69" s="236">
        <v>0</v>
      </c>
      <c r="BY69" s="234">
        <v>1457.3594280171901</v>
      </c>
      <c r="BZ69" s="236" t="s">
        <v>109</v>
      </c>
      <c r="CA69" s="236" t="s">
        <v>109</v>
      </c>
      <c r="CB69" s="236" t="s">
        <v>109</v>
      </c>
      <c r="CC69" s="236">
        <v>0</v>
      </c>
      <c r="CD69" s="236">
        <v>0</v>
      </c>
      <c r="CE69" s="236">
        <v>0</v>
      </c>
      <c r="CF69" s="236">
        <v>0</v>
      </c>
      <c r="CG69" s="236">
        <v>0</v>
      </c>
      <c r="CH69" s="236">
        <v>0</v>
      </c>
      <c r="CI69" s="236">
        <v>0</v>
      </c>
      <c r="CJ69" s="177" t="s">
        <v>128</v>
      </c>
      <c r="CK69" s="177" t="s">
        <v>128</v>
      </c>
      <c r="CL69" s="177" t="s">
        <v>128</v>
      </c>
      <c r="CM69" s="155" t="s">
        <v>109</v>
      </c>
      <c r="CN69" s="229">
        <v>0</v>
      </c>
      <c r="CO69" s="229">
        <v>0</v>
      </c>
      <c r="CP69" t="s">
        <v>155</v>
      </c>
      <c r="CR69" s="248"/>
    </row>
    <row r="70" spans="1:96" ht="14.4" x14ac:dyDescent="0.3">
      <c r="A70">
        <v>67</v>
      </c>
      <c r="B70" s="173" t="s">
        <v>641</v>
      </c>
      <c r="C70" s="259"/>
      <c r="D70" s="260"/>
      <c r="E70" t="s">
        <v>410</v>
      </c>
      <c r="F70" t="s">
        <v>642</v>
      </c>
      <c r="G70" s="177" t="s">
        <v>233</v>
      </c>
      <c r="H70" s="177" t="s">
        <v>112</v>
      </c>
      <c r="I70" s="177" t="s">
        <v>112</v>
      </c>
      <c r="J70" s="177" t="s">
        <v>109</v>
      </c>
      <c r="K70" s="177" t="s">
        <v>114</v>
      </c>
      <c r="L70" s="177" t="s">
        <v>207</v>
      </c>
      <c r="M70" s="177" t="s">
        <v>109</v>
      </c>
      <c r="N70" s="177" t="s">
        <v>109</v>
      </c>
      <c r="O70" s="180">
        <v>45703</v>
      </c>
      <c r="P70" s="177" t="s">
        <v>109</v>
      </c>
      <c r="Q70" s="177" t="s">
        <v>109</v>
      </c>
      <c r="R70" s="177" t="s">
        <v>109</v>
      </c>
      <c r="S70" s="177" t="s">
        <v>109</v>
      </c>
      <c r="T70" s="177" t="s">
        <v>116</v>
      </c>
      <c r="U70" s="177" t="s">
        <v>117</v>
      </c>
      <c r="V70" s="177" t="b">
        <v>0</v>
      </c>
      <c r="W70" s="177" t="s">
        <v>109</v>
      </c>
      <c r="X70" s="261"/>
      <c r="Y70" s="177">
        <v>4.76</v>
      </c>
      <c r="Z70" s="177" t="s">
        <v>118</v>
      </c>
      <c r="AA70" s="177" t="s">
        <v>109</v>
      </c>
      <c r="AB70" s="177" t="s">
        <v>109</v>
      </c>
      <c r="AC70" s="177">
        <v>4.3</v>
      </c>
      <c r="AD70" s="177" t="s">
        <v>643</v>
      </c>
      <c r="AE70" s="177" t="s">
        <v>538</v>
      </c>
      <c r="AF70" s="177">
        <v>1</v>
      </c>
      <c r="AG70" s="177">
        <v>7144</v>
      </c>
      <c r="AH70" s="177" t="s">
        <v>121</v>
      </c>
      <c r="AI70" s="177" t="b">
        <v>1</v>
      </c>
      <c r="AJ70" s="180" t="s">
        <v>644</v>
      </c>
      <c r="AK70" s="177" t="s">
        <v>122</v>
      </c>
      <c r="AL70" s="177">
        <v>2019</v>
      </c>
      <c r="AM70" s="177" t="s">
        <v>109</v>
      </c>
      <c r="AN70" s="179" t="b">
        <v>0</v>
      </c>
      <c r="AO70" s="177" t="s">
        <v>109</v>
      </c>
      <c r="AP70" s="177" t="s">
        <v>109</v>
      </c>
      <c r="AQ70" s="177" t="s">
        <v>109</v>
      </c>
      <c r="AR70" s="177" t="b">
        <v>0</v>
      </c>
      <c r="AS70" s="177" t="s">
        <v>123</v>
      </c>
      <c r="AT70" s="180" t="s">
        <v>109</v>
      </c>
      <c r="AU70" s="177" t="s">
        <v>124</v>
      </c>
      <c r="AV70" s="177" t="s">
        <v>109</v>
      </c>
      <c r="AW70" s="177" t="s">
        <v>195</v>
      </c>
      <c r="AX70" s="177" t="s">
        <v>109</v>
      </c>
      <c r="AY70" s="177" t="s">
        <v>135</v>
      </c>
      <c r="AZ70" s="177" t="s">
        <v>109</v>
      </c>
      <c r="BA70" s="177" t="s">
        <v>218</v>
      </c>
      <c r="BB70" s="177" t="s">
        <v>109</v>
      </c>
      <c r="BC70" s="177" t="s">
        <v>397</v>
      </c>
      <c r="BD70" s="177" t="s">
        <v>109</v>
      </c>
      <c r="BE70" s="180" t="s">
        <v>109</v>
      </c>
      <c r="BF70" s="180">
        <v>44905</v>
      </c>
      <c r="BG70" s="180" t="s">
        <v>645</v>
      </c>
      <c r="BH70" s="177" t="s">
        <v>109</v>
      </c>
      <c r="BI70" s="177" t="s">
        <v>109</v>
      </c>
      <c r="BJ70" s="177" t="b">
        <v>0</v>
      </c>
      <c r="BK70" s="233">
        <v>2465.4490000000001</v>
      </c>
      <c r="BL70" s="234" t="s">
        <v>128</v>
      </c>
      <c r="BM70" s="236">
        <v>1236.0676719887199</v>
      </c>
      <c r="BN70" s="236">
        <v>35.322266499999998</v>
      </c>
      <c r="BO70" s="236">
        <v>285.9956674</v>
      </c>
      <c r="BP70" s="236">
        <v>82.8768745</v>
      </c>
      <c r="BQ70" s="236">
        <v>14.7399866</v>
      </c>
      <c r="BR70" s="236">
        <v>690.38480000000004</v>
      </c>
      <c r="BS70" s="236">
        <v>4.4068199999999997</v>
      </c>
      <c r="BT70" s="236">
        <v>79.159770300000005</v>
      </c>
      <c r="BU70" s="236">
        <v>14.4633992</v>
      </c>
      <c r="BV70" s="236">
        <v>0</v>
      </c>
      <c r="BW70" s="236">
        <v>0</v>
      </c>
      <c r="BX70" s="236">
        <v>0</v>
      </c>
      <c r="BY70" s="234">
        <v>1142.44450248872</v>
      </c>
      <c r="BZ70" s="236" t="s">
        <v>109</v>
      </c>
      <c r="CA70" s="236" t="s">
        <v>109</v>
      </c>
      <c r="CB70" s="236" t="s">
        <v>109</v>
      </c>
      <c r="CC70" s="236">
        <v>0</v>
      </c>
      <c r="CD70" s="236">
        <v>0</v>
      </c>
      <c r="CE70" s="236">
        <v>0</v>
      </c>
      <c r="CF70" s="236">
        <v>0</v>
      </c>
      <c r="CG70" s="236">
        <v>0</v>
      </c>
      <c r="CH70" s="236">
        <v>0</v>
      </c>
      <c r="CI70" s="236">
        <v>0</v>
      </c>
      <c r="CJ70" s="177" t="s">
        <v>128</v>
      </c>
      <c r="CK70" s="177" t="s">
        <v>128</v>
      </c>
      <c r="CL70" s="177" t="s">
        <v>128</v>
      </c>
      <c r="CM70" s="155" t="s">
        <v>109</v>
      </c>
      <c r="CN70" s="229">
        <v>0</v>
      </c>
      <c r="CO70" s="229">
        <v>0</v>
      </c>
      <c r="CP70" t="s">
        <v>449</v>
      </c>
      <c r="CR70" s="248"/>
    </row>
    <row r="71" spans="1:96" ht="14.4" x14ac:dyDescent="0.3">
      <c r="A71">
        <v>68</v>
      </c>
      <c r="B71" s="173" t="s">
        <v>646</v>
      </c>
      <c r="C71" s="259"/>
      <c r="D71" s="260"/>
      <c r="E71" t="s">
        <v>410</v>
      </c>
      <c r="F71" t="s">
        <v>647</v>
      </c>
      <c r="G71" s="177" t="s">
        <v>233</v>
      </c>
      <c r="H71" s="177" t="s">
        <v>112</v>
      </c>
      <c r="I71" s="177" t="s">
        <v>112</v>
      </c>
      <c r="J71" s="177" t="s">
        <v>109</v>
      </c>
      <c r="K71" s="177" t="s">
        <v>114</v>
      </c>
      <c r="L71" s="177" t="s">
        <v>207</v>
      </c>
      <c r="M71" s="177" t="s">
        <v>109</v>
      </c>
      <c r="N71" s="177" t="s">
        <v>109</v>
      </c>
      <c r="O71" s="180">
        <v>45685</v>
      </c>
      <c r="P71" s="177" t="s">
        <v>109</v>
      </c>
      <c r="Q71" s="177" t="s">
        <v>109</v>
      </c>
      <c r="R71" s="177" t="s">
        <v>109</v>
      </c>
      <c r="S71" s="177" t="s">
        <v>109</v>
      </c>
      <c r="T71" s="177" t="s">
        <v>116</v>
      </c>
      <c r="U71" s="177" t="s">
        <v>117</v>
      </c>
      <c r="V71" s="177" t="b">
        <v>0</v>
      </c>
      <c r="W71" s="177" t="s">
        <v>109</v>
      </c>
      <c r="X71" s="261"/>
      <c r="Y71" s="177">
        <v>0.04</v>
      </c>
      <c r="Z71" s="177" t="s">
        <v>118</v>
      </c>
      <c r="AA71" s="177" t="s">
        <v>109</v>
      </c>
      <c r="AB71" s="177" t="s">
        <v>109</v>
      </c>
      <c r="AC71" s="177">
        <v>4.3</v>
      </c>
      <c r="AD71" s="177" t="s">
        <v>648</v>
      </c>
      <c r="AE71" s="177" t="s">
        <v>538</v>
      </c>
      <c r="AF71" s="177">
        <v>1</v>
      </c>
      <c r="AG71" s="177">
        <v>7144</v>
      </c>
      <c r="AH71" s="177" t="s">
        <v>121</v>
      </c>
      <c r="AI71" s="177" t="b">
        <v>1</v>
      </c>
      <c r="AJ71" s="180">
        <v>44824</v>
      </c>
      <c r="AK71" s="177" t="s">
        <v>122</v>
      </c>
      <c r="AL71" s="177">
        <v>2022</v>
      </c>
      <c r="AM71" s="177" t="s">
        <v>109</v>
      </c>
      <c r="AN71" s="179" t="b">
        <v>0</v>
      </c>
      <c r="AO71" s="177" t="s">
        <v>109</v>
      </c>
      <c r="AP71" s="177" t="s">
        <v>109</v>
      </c>
      <c r="AQ71" s="177" t="s">
        <v>109</v>
      </c>
      <c r="AR71" s="177" t="b">
        <v>0</v>
      </c>
      <c r="AS71" s="177" t="s">
        <v>123</v>
      </c>
      <c r="AT71" s="180" t="s">
        <v>109</v>
      </c>
      <c r="AU71" s="177" t="s">
        <v>124</v>
      </c>
      <c r="AV71" s="177" t="s">
        <v>109</v>
      </c>
      <c r="AW71" s="177" t="s">
        <v>195</v>
      </c>
      <c r="AX71" s="177" t="s">
        <v>109</v>
      </c>
      <c r="AY71" s="177" t="s">
        <v>135</v>
      </c>
      <c r="AZ71" s="180">
        <v>45953</v>
      </c>
      <c r="BA71" s="177" t="s">
        <v>649</v>
      </c>
      <c r="BB71" s="177" t="s">
        <v>109</v>
      </c>
      <c r="BC71" s="177" t="s">
        <v>322</v>
      </c>
      <c r="BD71" s="177" t="s">
        <v>109</v>
      </c>
      <c r="BE71" s="180">
        <v>45694</v>
      </c>
      <c r="BF71" s="180">
        <v>45385</v>
      </c>
      <c r="BG71" s="180" t="s">
        <v>650</v>
      </c>
      <c r="BH71" s="177" t="s">
        <v>109</v>
      </c>
      <c r="BI71" s="177" t="s">
        <v>109</v>
      </c>
      <c r="BJ71" s="177" t="b">
        <v>1</v>
      </c>
      <c r="BK71" s="233">
        <v>983.39697000000001</v>
      </c>
      <c r="BL71" s="234" t="s">
        <v>128</v>
      </c>
      <c r="BM71" s="236">
        <v>1027.8741526342301</v>
      </c>
      <c r="BN71" s="236">
        <v>0</v>
      </c>
      <c r="BO71" s="236">
        <v>0</v>
      </c>
      <c r="BP71" s="236">
        <v>18.474399999999999</v>
      </c>
      <c r="BQ71" s="236">
        <v>355.26123999999999</v>
      </c>
      <c r="BR71" s="236">
        <v>197.56044</v>
      </c>
      <c r="BS71" s="236">
        <v>455.67975000000001</v>
      </c>
      <c r="BT71" s="236">
        <v>0.89832260000001396</v>
      </c>
      <c r="BU71" s="236">
        <v>0</v>
      </c>
      <c r="BV71" s="236">
        <v>0</v>
      </c>
      <c r="BW71" s="236">
        <v>0</v>
      </c>
      <c r="BX71" s="236">
        <v>0</v>
      </c>
      <c r="BY71" s="234">
        <v>49.953699999999799</v>
      </c>
      <c r="BZ71" s="236" t="s">
        <v>109</v>
      </c>
      <c r="CA71" s="236" t="s">
        <v>109</v>
      </c>
      <c r="CB71" s="236" t="s">
        <v>154</v>
      </c>
      <c r="CC71" s="236">
        <v>0</v>
      </c>
      <c r="CD71" s="236">
        <v>0</v>
      </c>
      <c r="CE71" s="236">
        <v>0</v>
      </c>
      <c r="CF71" s="236">
        <v>373.73563999999999</v>
      </c>
      <c r="CG71" s="236">
        <v>170.73711</v>
      </c>
      <c r="CH71" s="236">
        <v>432.54937999999999</v>
      </c>
      <c r="CI71" s="236">
        <v>50.852022599999998</v>
      </c>
      <c r="CJ71" s="177" t="s">
        <v>128</v>
      </c>
      <c r="CK71" s="177" t="s">
        <v>128</v>
      </c>
      <c r="CL71" s="177" t="s">
        <v>128</v>
      </c>
      <c r="CM71" s="155" t="s">
        <v>109</v>
      </c>
      <c r="CN71" s="229">
        <v>0</v>
      </c>
      <c r="CO71" s="229">
        <v>0</v>
      </c>
      <c r="CP71" t="s">
        <v>155</v>
      </c>
      <c r="CR71" s="248"/>
    </row>
    <row r="72" spans="1:96" ht="14.4" x14ac:dyDescent="0.3">
      <c r="A72">
        <v>69</v>
      </c>
      <c r="B72" s="173" t="s">
        <v>651</v>
      </c>
      <c r="C72" s="259"/>
      <c r="D72" s="260"/>
      <c r="E72" t="s">
        <v>353</v>
      </c>
      <c r="F72" t="s">
        <v>652</v>
      </c>
      <c r="G72" s="177" t="s">
        <v>233</v>
      </c>
      <c r="H72" s="177" t="s">
        <v>112</v>
      </c>
      <c r="I72" s="177" t="s">
        <v>112</v>
      </c>
      <c r="J72" s="177" t="s">
        <v>109</v>
      </c>
      <c r="K72" s="177" t="s">
        <v>114</v>
      </c>
      <c r="L72" s="177" t="s">
        <v>207</v>
      </c>
      <c r="M72" s="177" t="s">
        <v>109</v>
      </c>
      <c r="N72" s="177" t="s">
        <v>109</v>
      </c>
      <c r="O72" s="180">
        <v>45687</v>
      </c>
      <c r="P72" s="177" t="s">
        <v>109</v>
      </c>
      <c r="Q72" s="177" t="s">
        <v>109</v>
      </c>
      <c r="R72" s="177" t="s">
        <v>109</v>
      </c>
      <c r="S72" s="177" t="s">
        <v>109</v>
      </c>
      <c r="T72" s="177" t="s">
        <v>116</v>
      </c>
      <c r="U72" s="177" t="s">
        <v>117</v>
      </c>
      <c r="V72" s="177" t="b">
        <v>0</v>
      </c>
      <c r="W72" s="177" t="s">
        <v>109</v>
      </c>
      <c r="X72" s="261"/>
      <c r="Y72" s="177" t="s">
        <v>653</v>
      </c>
      <c r="Z72" s="177" t="s">
        <v>118</v>
      </c>
      <c r="AA72" s="177" t="s">
        <v>109</v>
      </c>
      <c r="AB72" s="177" t="s">
        <v>109</v>
      </c>
      <c r="AC72" s="177">
        <v>4.3</v>
      </c>
      <c r="AD72" s="177" t="s">
        <v>654</v>
      </c>
      <c r="AE72" s="177" t="s">
        <v>538</v>
      </c>
      <c r="AF72" s="177">
        <v>1</v>
      </c>
      <c r="AG72" s="177">
        <v>7144</v>
      </c>
      <c r="AH72" s="177" t="s">
        <v>121</v>
      </c>
      <c r="AI72" s="177" t="b">
        <v>1</v>
      </c>
      <c r="AJ72" s="180" t="s">
        <v>655</v>
      </c>
      <c r="AK72" s="177" t="s">
        <v>122</v>
      </c>
      <c r="AL72" s="177">
        <v>2019</v>
      </c>
      <c r="AM72" s="177" t="s">
        <v>109</v>
      </c>
      <c r="AN72" s="179" t="b">
        <v>0</v>
      </c>
      <c r="AO72" s="177" t="s">
        <v>109</v>
      </c>
      <c r="AP72" s="177" t="s">
        <v>109</v>
      </c>
      <c r="AQ72" s="177" t="s">
        <v>109</v>
      </c>
      <c r="AR72" s="177" t="b">
        <v>0</v>
      </c>
      <c r="AS72" s="177" t="s">
        <v>123</v>
      </c>
      <c r="AT72" s="180" t="s">
        <v>109</v>
      </c>
      <c r="AU72" s="177" t="s">
        <v>124</v>
      </c>
      <c r="AV72" s="177" t="s">
        <v>109</v>
      </c>
      <c r="AW72" s="177" t="s">
        <v>195</v>
      </c>
      <c r="AX72" s="177" t="s">
        <v>109</v>
      </c>
      <c r="AY72" s="177" t="s">
        <v>135</v>
      </c>
      <c r="AZ72" s="177" t="s">
        <v>109</v>
      </c>
      <c r="BA72" s="177" t="s">
        <v>218</v>
      </c>
      <c r="BB72" s="177" t="s">
        <v>109</v>
      </c>
      <c r="BC72" s="177" t="s">
        <v>397</v>
      </c>
      <c r="BD72" s="177" t="s">
        <v>109</v>
      </c>
      <c r="BE72" s="181" t="s">
        <v>656</v>
      </c>
      <c r="BF72" s="180">
        <v>45270</v>
      </c>
      <c r="BG72" s="180" t="s">
        <v>657</v>
      </c>
      <c r="BH72" s="177" t="s">
        <v>109</v>
      </c>
      <c r="BI72" s="177" t="s">
        <v>109</v>
      </c>
      <c r="BJ72" s="177" t="b">
        <v>1</v>
      </c>
      <c r="BK72" s="233">
        <v>6070.0209999999997</v>
      </c>
      <c r="BL72" s="234" t="s">
        <v>128</v>
      </c>
      <c r="BM72" s="236">
        <v>3643.0331667262899</v>
      </c>
      <c r="BN72" s="236">
        <v>46.925047800000002</v>
      </c>
      <c r="BO72" s="236">
        <v>187.8281317</v>
      </c>
      <c r="BP72" s="236">
        <v>127.8449382</v>
      </c>
      <c r="BQ72" s="236">
        <v>4.9680819999999999</v>
      </c>
      <c r="BR72" s="236">
        <v>2626.666432</v>
      </c>
      <c r="BS72" s="236">
        <v>12.476570000000001</v>
      </c>
      <c r="BT72" s="236">
        <v>225.8235119</v>
      </c>
      <c r="BU72" s="236">
        <v>41.260549300000001</v>
      </c>
      <c r="BV72" s="236">
        <v>0</v>
      </c>
      <c r="BW72" s="236">
        <v>0</v>
      </c>
      <c r="BX72" s="236">
        <v>0</v>
      </c>
      <c r="BY72" s="234">
        <v>3375.9491055262897</v>
      </c>
      <c r="BZ72" s="236" t="s">
        <v>109</v>
      </c>
      <c r="CA72" s="236" t="s">
        <v>109</v>
      </c>
      <c r="CB72" s="236">
        <v>2025</v>
      </c>
      <c r="CC72" s="236">
        <v>0</v>
      </c>
      <c r="CD72" s="236">
        <v>0</v>
      </c>
      <c r="CE72" s="236">
        <v>0</v>
      </c>
      <c r="CF72" s="236">
        <v>0</v>
      </c>
      <c r="CG72" s="236">
        <v>0</v>
      </c>
      <c r="CH72" s="236">
        <v>0</v>
      </c>
      <c r="CI72" s="236">
        <v>-64.284264500000006</v>
      </c>
      <c r="CJ72" s="177" t="s">
        <v>128</v>
      </c>
      <c r="CK72" s="177" t="s">
        <v>128</v>
      </c>
      <c r="CL72" s="177" t="s">
        <v>128</v>
      </c>
      <c r="CM72" s="155" t="s">
        <v>109</v>
      </c>
      <c r="CN72" s="229">
        <v>0</v>
      </c>
      <c r="CO72" s="229">
        <v>0</v>
      </c>
      <c r="CP72" t="s">
        <v>480</v>
      </c>
      <c r="CR72" s="248"/>
    </row>
    <row r="73" spans="1:96" ht="14.4" x14ac:dyDescent="0.3">
      <c r="A73">
        <v>70</v>
      </c>
      <c r="B73" s="173" t="s">
        <v>658</v>
      </c>
      <c r="C73" s="259"/>
      <c r="D73" s="260"/>
      <c r="E73" t="s">
        <v>659</v>
      </c>
      <c r="F73" t="s">
        <v>660</v>
      </c>
      <c r="G73" s="177" t="s">
        <v>661</v>
      </c>
      <c r="H73" s="177" t="s">
        <v>146</v>
      </c>
      <c r="I73" s="177" t="s">
        <v>275</v>
      </c>
      <c r="J73" s="177" t="s">
        <v>109</v>
      </c>
      <c r="K73" s="177" t="s">
        <v>662</v>
      </c>
      <c r="L73" s="177" t="s">
        <v>663</v>
      </c>
      <c r="M73" s="177" t="s">
        <v>109</v>
      </c>
      <c r="N73" s="177" t="s">
        <v>109</v>
      </c>
      <c r="O73" s="180">
        <v>45692</v>
      </c>
      <c r="P73" s="177" t="s">
        <v>109</v>
      </c>
      <c r="Q73" s="177" t="s">
        <v>109</v>
      </c>
      <c r="R73" s="177" t="s">
        <v>109</v>
      </c>
      <c r="S73" s="177" t="s">
        <v>109</v>
      </c>
      <c r="T73" s="177" t="s">
        <v>310</v>
      </c>
      <c r="U73" s="177" t="s">
        <v>117</v>
      </c>
      <c r="V73" s="177" t="b">
        <v>0</v>
      </c>
      <c r="W73" s="177" t="s">
        <v>109</v>
      </c>
      <c r="X73" s="261"/>
      <c r="Y73" s="177">
        <v>4.6373689999999996</v>
      </c>
      <c r="Z73" s="177" t="s">
        <v>118</v>
      </c>
      <c r="AA73" s="177">
        <v>69</v>
      </c>
      <c r="AB73" s="177" t="s">
        <v>109</v>
      </c>
      <c r="AC73" s="177">
        <v>1.2</v>
      </c>
      <c r="AD73" s="177" t="s">
        <v>664</v>
      </c>
      <c r="AE73" s="177" t="s">
        <v>665</v>
      </c>
      <c r="AF73" s="177">
        <v>1</v>
      </c>
      <c r="AG73" s="177">
        <v>9132</v>
      </c>
      <c r="AH73" s="177" t="s">
        <v>121</v>
      </c>
      <c r="AI73" s="177" t="b">
        <v>1</v>
      </c>
      <c r="AJ73" s="180">
        <v>40885</v>
      </c>
      <c r="AK73" s="177" t="s">
        <v>122</v>
      </c>
      <c r="AL73" s="177">
        <v>2009</v>
      </c>
      <c r="AM73" s="177" t="s">
        <v>109</v>
      </c>
      <c r="AN73" s="177" t="b">
        <v>0</v>
      </c>
      <c r="AO73" s="177" t="s">
        <v>109</v>
      </c>
      <c r="AP73" s="177" t="s">
        <v>109</v>
      </c>
      <c r="AQ73" s="177" t="s">
        <v>118</v>
      </c>
      <c r="AR73" s="177" t="b">
        <v>0</v>
      </c>
      <c r="AS73" s="177" t="s">
        <v>109</v>
      </c>
      <c r="AT73" s="180" t="s">
        <v>118</v>
      </c>
      <c r="AU73" s="177" t="s">
        <v>124</v>
      </c>
      <c r="AV73" s="177" t="s">
        <v>109</v>
      </c>
      <c r="AW73" s="177" t="s">
        <v>118</v>
      </c>
      <c r="AX73" s="177" t="s">
        <v>118</v>
      </c>
      <c r="AY73" s="177" t="s">
        <v>666</v>
      </c>
      <c r="AZ73" s="177" t="s">
        <v>667</v>
      </c>
      <c r="BA73" s="177" t="s">
        <v>494</v>
      </c>
      <c r="BB73" s="177">
        <v>2020</v>
      </c>
      <c r="BC73" s="177" t="s">
        <v>126</v>
      </c>
      <c r="BD73" s="177" t="s">
        <v>109</v>
      </c>
      <c r="BE73" s="180" t="s">
        <v>668</v>
      </c>
      <c r="BF73" s="180" t="s">
        <v>669</v>
      </c>
      <c r="BG73" s="180" t="s">
        <v>670</v>
      </c>
      <c r="BH73" s="177" t="s">
        <v>138</v>
      </c>
      <c r="BI73" s="177" t="s">
        <v>109</v>
      </c>
      <c r="BJ73" s="177" t="b">
        <v>1</v>
      </c>
      <c r="BK73" s="233">
        <v>65729</v>
      </c>
      <c r="BL73" s="234" t="s">
        <v>128</v>
      </c>
      <c r="BM73" s="254">
        <v>105078.342</v>
      </c>
      <c r="BN73" s="254">
        <v>16920.356857899998</v>
      </c>
      <c r="BO73" s="254">
        <v>57303.651663999997</v>
      </c>
      <c r="BP73" s="254">
        <v>16554.1531388</v>
      </c>
      <c r="BQ73" s="254">
        <v>2325.7930518999997</v>
      </c>
      <c r="BR73" s="254">
        <v>333.38791000000003</v>
      </c>
      <c r="BS73" s="254">
        <v>14.726150000000001</v>
      </c>
      <c r="BT73" s="254">
        <v>0</v>
      </c>
      <c r="BU73" s="254">
        <v>2014.7774240000001</v>
      </c>
      <c r="BV73" s="254">
        <v>0</v>
      </c>
      <c r="BW73" s="254">
        <v>0</v>
      </c>
      <c r="BX73" s="254">
        <v>0</v>
      </c>
      <c r="BY73" s="255">
        <v>0</v>
      </c>
      <c r="BZ73" s="236" t="s">
        <v>109</v>
      </c>
      <c r="CA73" s="236" t="s">
        <v>109</v>
      </c>
      <c r="CB73" s="236" t="s">
        <v>139</v>
      </c>
      <c r="CC73" s="254">
        <v>0</v>
      </c>
      <c r="CD73" s="254">
        <v>1.176059</v>
      </c>
      <c r="CE73" s="254">
        <v>99114.370710999996</v>
      </c>
      <c r="CF73" s="254">
        <v>3515.0473446000001</v>
      </c>
      <c r="CG73" s="254">
        <v>333.38791000000003</v>
      </c>
      <c r="CH73" s="254">
        <v>14.726150000000001</v>
      </c>
      <c r="CI73" s="254">
        <v>0</v>
      </c>
      <c r="CJ73" s="237">
        <v>0</v>
      </c>
      <c r="CK73" s="177" t="s">
        <v>128</v>
      </c>
      <c r="CL73" s="177">
        <v>21.6</v>
      </c>
      <c r="CM73" s="155" t="s">
        <v>109</v>
      </c>
      <c r="CN73" s="229">
        <v>0</v>
      </c>
      <c r="CO73" s="229">
        <v>1</v>
      </c>
      <c r="CP73" t="s">
        <v>671</v>
      </c>
      <c r="CR73" s="248"/>
    </row>
    <row r="74" spans="1:96" ht="14.4" x14ac:dyDescent="0.3">
      <c r="A74">
        <v>71</v>
      </c>
      <c r="B74" s="173" t="s">
        <v>673</v>
      </c>
      <c r="C74" s="259"/>
      <c r="D74" s="260"/>
      <c r="E74" t="s">
        <v>674</v>
      </c>
      <c r="F74" t="s">
        <v>675</v>
      </c>
      <c r="G74" s="177" t="s">
        <v>661</v>
      </c>
      <c r="H74" s="177" t="s">
        <v>146</v>
      </c>
      <c r="I74" s="177" t="s">
        <v>109</v>
      </c>
      <c r="J74" s="177" t="s">
        <v>109</v>
      </c>
      <c r="K74" s="177" t="s">
        <v>662</v>
      </c>
      <c r="L74" s="177" t="s">
        <v>663</v>
      </c>
      <c r="M74" s="177" t="s">
        <v>109</v>
      </c>
      <c r="N74" s="177" t="s">
        <v>109</v>
      </c>
      <c r="O74" s="180">
        <v>45670</v>
      </c>
      <c r="P74" s="177" t="s">
        <v>676</v>
      </c>
      <c r="Q74" s="177" t="s">
        <v>109</v>
      </c>
      <c r="R74" s="177" t="s">
        <v>109</v>
      </c>
      <c r="S74" s="177" t="s">
        <v>109</v>
      </c>
      <c r="T74" s="177" t="s">
        <v>404</v>
      </c>
      <c r="U74" s="177" t="s">
        <v>117</v>
      </c>
      <c r="V74" s="177" t="b">
        <v>0</v>
      </c>
      <c r="W74" s="177" t="s">
        <v>109</v>
      </c>
      <c r="X74" s="261"/>
      <c r="Y74" s="177">
        <v>7.7111390000000002</v>
      </c>
      <c r="Z74" s="177" t="s">
        <v>118</v>
      </c>
      <c r="AA74" s="177">
        <v>69</v>
      </c>
      <c r="AB74" s="177" t="s">
        <v>109</v>
      </c>
      <c r="AC74" s="177">
        <v>1.2</v>
      </c>
      <c r="AD74" s="177" t="s">
        <v>677</v>
      </c>
      <c r="AE74" s="177" t="s">
        <v>678</v>
      </c>
      <c r="AF74" s="177">
        <v>1</v>
      </c>
      <c r="AG74" s="177">
        <v>9137</v>
      </c>
      <c r="AH74" s="177" t="s">
        <v>121</v>
      </c>
      <c r="AI74" s="177" t="b">
        <v>1</v>
      </c>
      <c r="AJ74" s="180">
        <v>43712</v>
      </c>
      <c r="AK74" s="177" t="s">
        <v>122</v>
      </c>
      <c r="AL74" s="177">
        <v>2009</v>
      </c>
      <c r="AM74" s="177" t="s">
        <v>118</v>
      </c>
      <c r="AN74" s="177" t="b">
        <v>0</v>
      </c>
      <c r="AO74" s="177" t="s">
        <v>118</v>
      </c>
      <c r="AP74" s="177" t="s">
        <v>118</v>
      </c>
      <c r="AQ74" s="177" t="s">
        <v>118</v>
      </c>
      <c r="AR74" s="177" t="b">
        <v>0</v>
      </c>
      <c r="AS74" s="177" t="s">
        <v>490</v>
      </c>
      <c r="AT74" s="180" t="s">
        <v>118</v>
      </c>
      <c r="AU74" s="177" t="s">
        <v>491</v>
      </c>
      <c r="AV74" s="177" t="s">
        <v>109</v>
      </c>
      <c r="AW74" s="177" t="s">
        <v>226</v>
      </c>
      <c r="AX74" s="177" t="s">
        <v>118</v>
      </c>
      <c r="AY74" s="177" t="s">
        <v>492</v>
      </c>
      <c r="AZ74" s="177" t="s">
        <v>679</v>
      </c>
      <c r="BA74" s="177" t="s">
        <v>494</v>
      </c>
      <c r="BB74" s="177">
        <v>2019</v>
      </c>
      <c r="BC74" s="177" t="s">
        <v>126</v>
      </c>
      <c r="BD74" s="177" t="s">
        <v>109</v>
      </c>
      <c r="BE74" s="180" t="s">
        <v>680</v>
      </c>
      <c r="BF74" s="180" t="s">
        <v>681</v>
      </c>
      <c r="BG74" s="180" t="s">
        <v>682</v>
      </c>
      <c r="BH74" s="177" t="s">
        <v>109</v>
      </c>
      <c r="BI74" s="177" t="s">
        <v>109</v>
      </c>
      <c r="BJ74" s="177" t="b">
        <v>0</v>
      </c>
      <c r="BK74" s="233">
        <v>42500</v>
      </c>
      <c r="BL74" s="234" t="s">
        <v>128</v>
      </c>
      <c r="BM74" s="254">
        <v>29952.350619191486</v>
      </c>
      <c r="BN74" s="254">
        <v>5888.1197174999998</v>
      </c>
      <c r="BO74" s="254">
        <v>56.438818300000001</v>
      </c>
      <c r="BP74" s="254">
        <v>1.2259078999999999</v>
      </c>
      <c r="BQ74" s="254">
        <v>0</v>
      </c>
      <c r="BR74" s="254">
        <v>-0.16288</v>
      </c>
      <c r="BS74" s="254">
        <v>0</v>
      </c>
      <c r="BT74" s="254">
        <v>0</v>
      </c>
      <c r="BU74" s="254">
        <v>0</v>
      </c>
      <c r="BV74" s="254">
        <v>0</v>
      </c>
      <c r="BW74" s="254">
        <v>0</v>
      </c>
      <c r="BX74" s="254">
        <v>0</v>
      </c>
      <c r="BY74" s="255">
        <v>0</v>
      </c>
      <c r="BZ74" s="236" t="s">
        <v>109</v>
      </c>
      <c r="CA74" s="236" t="s">
        <v>109</v>
      </c>
      <c r="CB74" s="236" t="s">
        <v>683</v>
      </c>
      <c r="CC74" s="254">
        <v>5981.7038823000003</v>
      </c>
      <c r="CD74" s="254">
        <v>56.589720300000003</v>
      </c>
      <c r="CE74" s="254">
        <v>1.2259078999999999</v>
      </c>
      <c r="CF74" s="254">
        <v>0</v>
      </c>
      <c r="CG74" s="254">
        <v>-0.16288</v>
      </c>
      <c r="CH74" s="254">
        <v>0</v>
      </c>
      <c r="CI74" s="254">
        <v>0</v>
      </c>
      <c r="CJ74" s="237">
        <v>0</v>
      </c>
      <c r="CK74" s="177" t="s">
        <v>128</v>
      </c>
      <c r="CL74" s="177">
        <v>8.3000000000000007</v>
      </c>
      <c r="CM74" s="155" t="s">
        <v>109</v>
      </c>
      <c r="CN74" s="229">
        <v>0</v>
      </c>
      <c r="CO74" s="229">
        <v>1</v>
      </c>
      <c r="CP74" t="s">
        <v>684</v>
      </c>
      <c r="CR74" s="248"/>
    </row>
    <row r="75" spans="1:96" ht="57.6" x14ac:dyDescent="0.3">
      <c r="A75">
        <v>72</v>
      </c>
      <c r="B75" s="173" t="s">
        <v>686</v>
      </c>
      <c r="C75" s="259"/>
      <c r="D75" s="260"/>
      <c r="E75" t="s">
        <v>191</v>
      </c>
      <c r="F75" t="s">
        <v>687</v>
      </c>
      <c r="G75" s="177" t="s">
        <v>688</v>
      </c>
      <c r="H75" s="177" t="s">
        <v>146</v>
      </c>
      <c r="I75" s="177" t="s">
        <v>275</v>
      </c>
      <c r="J75" s="177">
        <v>23126</v>
      </c>
      <c r="K75" s="177" t="s">
        <v>662</v>
      </c>
      <c r="L75" s="177" t="s">
        <v>663</v>
      </c>
      <c r="M75" s="177" t="s">
        <v>109</v>
      </c>
      <c r="N75" s="177" t="s">
        <v>109</v>
      </c>
      <c r="O75" s="180">
        <v>45664</v>
      </c>
      <c r="P75" s="177" t="s">
        <v>689</v>
      </c>
      <c r="Q75" s="177" t="s">
        <v>109</v>
      </c>
      <c r="R75" s="177" t="s">
        <v>109</v>
      </c>
      <c r="S75" s="177" t="s">
        <v>109</v>
      </c>
      <c r="T75" s="177" t="s">
        <v>404</v>
      </c>
      <c r="U75" s="177" t="s">
        <v>690</v>
      </c>
      <c r="V75" s="177" t="b">
        <v>0</v>
      </c>
      <c r="W75" s="177" t="s">
        <v>109</v>
      </c>
      <c r="X75" s="261"/>
      <c r="Y75" s="177" t="s">
        <v>691</v>
      </c>
      <c r="Z75" s="177" t="s">
        <v>118</v>
      </c>
      <c r="AA75" s="177">
        <v>69</v>
      </c>
      <c r="AB75" s="177" t="s">
        <v>109</v>
      </c>
      <c r="AC75" s="177">
        <v>1.2</v>
      </c>
      <c r="AD75" s="177" t="s">
        <v>692</v>
      </c>
      <c r="AE75" s="177" t="s">
        <v>693</v>
      </c>
      <c r="AF75" s="177">
        <v>1</v>
      </c>
      <c r="AG75" s="177">
        <v>9142</v>
      </c>
      <c r="AH75" s="177" t="s">
        <v>121</v>
      </c>
      <c r="AI75" s="177" t="b">
        <v>1</v>
      </c>
      <c r="AJ75" s="180">
        <v>43775</v>
      </c>
      <c r="AK75" s="177" t="s">
        <v>122</v>
      </c>
      <c r="AL75" s="177">
        <v>2012</v>
      </c>
      <c r="AM75" s="177" t="s">
        <v>109</v>
      </c>
      <c r="AN75" s="177" t="b">
        <v>0</v>
      </c>
      <c r="AO75" s="177" t="s">
        <v>109</v>
      </c>
      <c r="AP75" s="177" t="s">
        <v>109</v>
      </c>
      <c r="AQ75" s="177" t="s">
        <v>118</v>
      </c>
      <c r="AR75" s="177" t="s">
        <v>531</v>
      </c>
      <c r="AS75" s="177" t="s">
        <v>109</v>
      </c>
      <c r="AT75" s="180" t="s">
        <v>118</v>
      </c>
      <c r="AU75" s="177" t="s">
        <v>124</v>
      </c>
      <c r="AV75" s="177" t="s">
        <v>109</v>
      </c>
      <c r="AW75" s="177" t="s">
        <v>118</v>
      </c>
      <c r="AX75" s="177" t="s">
        <v>694</v>
      </c>
      <c r="AY75" s="177" t="s">
        <v>135</v>
      </c>
      <c r="AZ75" s="177" t="s">
        <v>109</v>
      </c>
      <c r="BA75" s="177" t="s">
        <v>218</v>
      </c>
      <c r="BB75" s="177" t="s">
        <v>109</v>
      </c>
      <c r="BC75" s="177" t="s">
        <v>425</v>
      </c>
      <c r="BD75" s="177" t="s">
        <v>109</v>
      </c>
      <c r="BE75" s="180" t="s">
        <v>695</v>
      </c>
      <c r="BF75" s="180" t="s">
        <v>696</v>
      </c>
      <c r="BG75" s="180" t="s">
        <v>697</v>
      </c>
      <c r="BH75" s="177" t="s">
        <v>698</v>
      </c>
      <c r="BI75" s="177" t="s">
        <v>699</v>
      </c>
      <c r="BJ75" s="177" t="b">
        <v>0</v>
      </c>
      <c r="BK75" s="233">
        <v>5446.0598499999996</v>
      </c>
      <c r="BL75" s="234" t="s">
        <v>128</v>
      </c>
      <c r="BM75" s="254">
        <v>141268.258</v>
      </c>
      <c r="BN75" s="254">
        <v>1529.5134800000001</v>
      </c>
      <c r="BO75" s="254">
        <v>1923.6473800000001</v>
      </c>
      <c r="BP75" s="254">
        <v>1337.7717500000001</v>
      </c>
      <c r="BQ75" s="254">
        <v>1315.6179199999999</v>
      </c>
      <c r="BR75" s="254">
        <v>-66.322709999999958</v>
      </c>
      <c r="BS75" s="254">
        <v>256.34050999999999</v>
      </c>
      <c r="BT75" s="254">
        <v>1189.9397518999999</v>
      </c>
      <c r="BU75" s="254">
        <v>1683.3954076</v>
      </c>
      <c r="BV75" s="254">
        <v>18058.422896100001</v>
      </c>
      <c r="BW75" s="254">
        <v>48232.027946400005</v>
      </c>
      <c r="BX75" s="254">
        <v>62094.047188600001</v>
      </c>
      <c r="BY75" s="255">
        <v>10010.424000000001</v>
      </c>
      <c r="BZ75" s="236" t="s">
        <v>109</v>
      </c>
      <c r="CA75" s="236" t="s">
        <v>109</v>
      </c>
      <c r="CB75" s="236" t="s">
        <v>109</v>
      </c>
      <c r="CC75" s="254">
        <v>0</v>
      </c>
      <c r="CD75" s="254">
        <v>0</v>
      </c>
      <c r="CE75" s="254">
        <v>0</v>
      </c>
      <c r="CF75" s="254">
        <v>0</v>
      </c>
      <c r="CG75" s="254">
        <v>0</v>
      </c>
      <c r="CH75" s="254">
        <v>0</v>
      </c>
      <c r="CI75" s="254">
        <v>0</v>
      </c>
      <c r="CJ75" s="237">
        <v>0</v>
      </c>
      <c r="CK75" s="177" t="s">
        <v>128</v>
      </c>
      <c r="CL75" s="177">
        <v>28.6</v>
      </c>
      <c r="CM75" s="155" t="s">
        <v>109</v>
      </c>
      <c r="CN75" s="229">
        <v>0</v>
      </c>
      <c r="CO75" s="229">
        <v>1</v>
      </c>
      <c r="CP75" s="138" t="s">
        <v>700</v>
      </c>
      <c r="CR75" s="248"/>
    </row>
    <row r="76" spans="1:96" ht="14.4" x14ac:dyDescent="0.3">
      <c r="A76">
        <v>73</v>
      </c>
      <c r="B76" s="173" t="s">
        <v>702</v>
      </c>
      <c r="C76" s="259"/>
      <c r="D76" s="260"/>
      <c r="E76" t="s">
        <v>329</v>
      </c>
      <c r="F76" t="s">
        <v>703</v>
      </c>
      <c r="G76" s="177" t="s">
        <v>661</v>
      </c>
      <c r="H76" s="177" t="s">
        <v>113</v>
      </c>
      <c r="I76" s="177" t="s">
        <v>109</v>
      </c>
      <c r="J76" s="177" t="s">
        <v>109</v>
      </c>
      <c r="K76" s="177" t="s">
        <v>704</v>
      </c>
      <c r="L76" s="177" t="s">
        <v>705</v>
      </c>
      <c r="M76" s="177" t="s">
        <v>706</v>
      </c>
      <c r="N76" s="177" t="s">
        <v>109</v>
      </c>
      <c r="O76" s="180">
        <v>45703</v>
      </c>
      <c r="P76" s="177" t="s">
        <v>109</v>
      </c>
      <c r="Q76" s="177" t="s">
        <v>508</v>
      </c>
      <c r="R76" s="177" t="s">
        <v>509</v>
      </c>
      <c r="S76" s="177" t="s">
        <v>109</v>
      </c>
      <c r="T76" s="177" t="s">
        <v>116</v>
      </c>
      <c r="U76" s="177" t="s">
        <v>117</v>
      </c>
      <c r="V76" s="177" t="b">
        <v>0</v>
      </c>
      <c r="W76" s="177" t="s">
        <v>109</v>
      </c>
      <c r="X76" s="261"/>
      <c r="Y76" s="177">
        <v>7.9514930000000001</v>
      </c>
      <c r="Z76" s="177" t="s">
        <v>118</v>
      </c>
      <c r="AA76" s="177" t="s">
        <v>707</v>
      </c>
      <c r="AB76" s="177" t="s">
        <v>109</v>
      </c>
      <c r="AC76" s="177">
        <v>2.1</v>
      </c>
      <c r="AD76" s="177" t="s">
        <v>708</v>
      </c>
      <c r="AE76" s="177" t="s">
        <v>709</v>
      </c>
      <c r="AF76" s="177">
        <v>1</v>
      </c>
      <c r="AG76" s="177">
        <v>9153</v>
      </c>
      <c r="AH76" s="177" t="s">
        <v>121</v>
      </c>
      <c r="AI76" s="177" t="b">
        <v>0</v>
      </c>
      <c r="AJ76" s="180" t="s">
        <v>109</v>
      </c>
      <c r="AK76" s="177" t="s">
        <v>122</v>
      </c>
      <c r="AL76" s="177">
        <v>2011</v>
      </c>
      <c r="AM76" s="177">
        <v>2011</v>
      </c>
      <c r="AN76" s="177" t="b">
        <v>0</v>
      </c>
      <c r="AO76" s="177" t="s">
        <v>710</v>
      </c>
      <c r="AP76" s="177" t="s">
        <v>109</v>
      </c>
      <c r="AQ76" s="177" t="s">
        <v>514</v>
      </c>
      <c r="AR76" s="177" t="b">
        <v>0</v>
      </c>
      <c r="AS76" s="177" t="s">
        <v>123</v>
      </c>
      <c r="AT76" s="180" t="s">
        <v>123</v>
      </c>
      <c r="AU76" s="177" t="s">
        <v>124</v>
      </c>
      <c r="AV76" s="177" t="s">
        <v>109</v>
      </c>
      <c r="AW76" s="177" t="s">
        <v>118</v>
      </c>
      <c r="AX76" s="177" t="s">
        <v>118</v>
      </c>
      <c r="AY76" s="177" t="s">
        <v>666</v>
      </c>
      <c r="AZ76" s="177" t="s">
        <v>367</v>
      </c>
      <c r="BA76" s="177" t="s">
        <v>494</v>
      </c>
      <c r="BB76" s="177">
        <v>2017</v>
      </c>
      <c r="BC76" s="177" t="s">
        <v>126</v>
      </c>
      <c r="BD76" s="177" t="s">
        <v>109</v>
      </c>
      <c r="BE76" s="180" t="s">
        <v>711</v>
      </c>
      <c r="BF76" s="180" t="s">
        <v>712</v>
      </c>
      <c r="BG76" s="180" t="s">
        <v>713</v>
      </c>
      <c r="BH76" s="177" t="s">
        <v>459</v>
      </c>
      <c r="BI76" s="177" t="s">
        <v>109</v>
      </c>
      <c r="BJ76" s="177" t="b">
        <v>0</v>
      </c>
      <c r="BK76" s="233">
        <v>28730.526880000001</v>
      </c>
      <c r="BL76" s="234" t="s">
        <v>128</v>
      </c>
      <c r="BM76" s="254">
        <v>38598.513643840997</v>
      </c>
      <c r="BN76" s="254">
        <v>186.7195834</v>
      </c>
      <c r="BO76" s="254">
        <v>46.977292199999994</v>
      </c>
      <c r="BP76" s="254">
        <v>0.13369</v>
      </c>
      <c r="BQ76" s="254">
        <v>0</v>
      </c>
      <c r="BR76" s="254">
        <v>-24.737159999999999</v>
      </c>
      <c r="BS76" s="254">
        <v>0</v>
      </c>
      <c r="BT76" s="254">
        <v>0</v>
      </c>
      <c r="BU76" s="254">
        <v>0</v>
      </c>
      <c r="BV76" s="254">
        <v>0</v>
      </c>
      <c r="BW76" s="254">
        <v>0</v>
      </c>
      <c r="BX76" s="254">
        <v>0</v>
      </c>
      <c r="BY76" s="255">
        <v>0</v>
      </c>
      <c r="BZ76" s="236" t="s">
        <v>109</v>
      </c>
      <c r="CA76" s="236" t="s">
        <v>109</v>
      </c>
      <c r="CB76" s="256" t="s">
        <v>683</v>
      </c>
      <c r="CC76" s="254">
        <v>3934.1667357000001</v>
      </c>
      <c r="CD76" s="254">
        <v>46.977292199999994</v>
      </c>
      <c r="CE76" s="254">
        <v>0.13369</v>
      </c>
      <c r="CF76" s="254">
        <v>0</v>
      </c>
      <c r="CG76" s="254">
        <v>-24.737159999999999</v>
      </c>
      <c r="CH76" s="254">
        <v>0</v>
      </c>
      <c r="CI76" s="254">
        <v>0</v>
      </c>
      <c r="CJ76" s="237">
        <v>0</v>
      </c>
      <c r="CK76" s="177" t="s">
        <v>128</v>
      </c>
      <c r="CL76" s="177" t="s">
        <v>128</v>
      </c>
      <c r="CM76" s="155" t="s">
        <v>109</v>
      </c>
      <c r="CN76" s="229">
        <v>0</v>
      </c>
      <c r="CO76" s="229">
        <v>1</v>
      </c>
      <c r="CP76" t="s">
        <v>155</v>
      </c>
      <c r="CR76" s="248"/>
    </row>
    <row r="77" spans="1:96" ht="14.4" x14ac:dyDescent="0.3">
      <c r="A77">
        <v>74</v>
      </c>
      <c r="B77" s="173" t="s">
        <v>714</v>
      </c>
      <c r="C77" s="259"/>
      <c r="D77" s="260"/>
      <c r="E77" t="s">
        <v>483</v>
      </c>
      <c r="F77" t="s">
        <v>715</v>
      </c>
      <c r="G77" s="177" t="s">
        <v>166</v>
      </c>
      <c r="H77" s="177" t="s">
        <v>146</v>
      </c>
      <c r="I77" s="177" t="s">
        <v>113</v>
      </c>
      <c r="J77" s="177" t="s">
        <v>109</v>
      </c>
      <c r="K77" s="177" t="s">
        <v>114</v>
      </c>
      <c r="L77" s="177" t="s">
        <v>716</v>
      </c>
      <c r="M77" s="177" t="s">
        <v>109</v>
      </c>
      <c r="N77" s="177" t="s">
        <v>109</v>
      </c>
      <c r="O77" s="180">
        <v>45769</v>
      </c>
      <c r="P77" s="177" t="s">
        <v>717</v>
      </c>
      <c r="Q77" s="177" t="s">
        <v>109</v>
      </c>
      <c r="R77" s="177" t="s">
        <v>109</v>
      </c>
      <c r="S77" s="177" t="s">
        <v>109</v>
      </c>
      <c r="T77" s="177" t="s">
        <v>116</v>
      </c>
      <c r="U77" s="177" t="s">
        <v>117</v>
      </c>
      <c r="V77" s="177" t="b">
        <v>0</v>
      </c>
      <c r="W77" s="177" t="s">
        <v>109</v>
      </c>
      <c r="X77" s="261"/>
      <c r="Y77" s="177" t="s">
        <v>109</v>
      </c>
      <c r="Z77" s="176">
        <v>6.12</v>
      </c>
      <c r="AA77" s="177">
        <v>69</v>
      </c>
      <c r="AB77" s="177" t="s">
        <v>718</v>
      </c>
      <c r="AC77" s="177">
        <v>2.1</v>
      </c>
      <c r="AD77" s="177" t="s">
        <v>719</v>
      </c>
      <c r="AE77" s="177" t="s">
        <v>720</v>
      </c>
      <c r="AF77" s="177">
        <v>1</v>
      </c>
      <c r="AG77" s="177">
        <v>9170</v>
      </c>
      <c r="AH77" s="177" t="s">
        <v>121</v>
      </c>
      <c r="AI77" s="177" t="b">
        <v>1</v>
      </c>
      <c r="AJ77" s="180">
        <v>44365</v>
      </c>
      <c r="AK77" s="177" t="s">
        <v>122</v>
      </c>
      <c r="AL77" s="177" t="s">
        <v>109</v>
      </c>
      <c r="AM77" s="177" t="s">
        <v>109</v>
      </c>
      <c r="AN77" s="177" t="b">
        <v>0</v>
      </c>
      <c r="AO77" s="177" t="s">
        <v>109</v>
      </c>
      <c r="AP77" s="177" t="s">
        <v>109</v>
      </c>
      <c r="AQ77" s="177" t="s">
        <v>118</v>
      </c>
      <c r="AR77" s="177" t="b">
        <v>0</v>
      </c>
      <c r="AS77" s="177" t="s">
        <v>123</v>
      </c>
      <c r="AT77" s="180" t="s">
        <v>123</v>
      </c>
      <c r="AU77" s="177" t="s">
        <v>124</v>
      </c>
      <c r="AV77" s="177" t="s">
        <v>109</v>
      </c>
      <c r="AW77" s="177" t="s">
        <v>109</v>
      </c>
      <c r="AX77" s="177" t="s">
        <v>109</v>
      </c>
      <c r="AY77" s="177" t="s">
        <v>135</v>
      </c>
      <c r="AZ77" s="177" t="s">
        <v>109</v>
      </c>
      <c r="BA77" s="177" t="s">
        <v>125</v>
      </c>
      <c r="BB77" s="177" t="s">
        <v>109</v>
      </c>
      <c r="BC77" s="177" t="s">
        <v>425</v>
      </c>
      <c r="BD77" s="177" t="s">
        <v>109</v>
      </c>
      <c r="BE77" s="180" t="s">
        <v>721</v>
      </c>
      <c r="BF77" s="180" t="s">
        <v>453</v>
      </c>
      <c r="BG77" s="180" t="s">
        <v>722</v>
      </c>
      <c r="BH77" s="177" t="s">
        <v>138</v>
      </c>
      <c r="BI77" s="177" t="s">
        <v>109</v>
      </c>
      <c r="BJ77" s="177" t="b">
        <v>0</v>
      </c>
      <c r="BK77" s="233">
        <v>3106.3705799999998</v>
      </c>
      <c r="BL77" s="234" t="s">
        <v>128</v>
      </c>
      <c r="BM77" s="233">
        <v>3485.1548106540899</v>
      </c>
      <c r="BN77" s="233">
        <v>0</v>
      </c>
      <c r="BO77" s="233">
        <v>1659.80459</v>
      </c>
      <c r="BP77" s="233">
        <v>335.38909999999998</v>
      </c>
      <c r="BQ77" s="233">
        <v>307.81473</v>
      </c>
      <c r="BR77" s="233">
        <v>610.71749</v>
      </c>
      <c r="BS77" s="233">
        <v>241.29504</v>
      </c>
      <c r="BT77" s="233">
        <v>215.05311169999999</v>
      </c>
      <c r="BU77" s="233">
        <v>115.0807489</v>
      </c>
      <c r="BV77" s="233">
        <v>0</v>
      </c>
      <c r="BW77" s="233">
        <v>0</v>
      </c>
      <c r="BX77" s="233">
        <v>0</v>
      </c>
      <c r="BY77" s="234">
        <v>3155</v>
      </c>
      <c r="BZ77" s="236" t="s">
        <v>109</v>
      </c>
      <c r="CA77" s="236" t="s">
        <v>109</v>
      </c>
      <c r="CB77" s="236" t="s">
        <v>109</v>
      </c>
      <c r="CC77" s="233">
        <v>0</v>
      </c>
      <c r="CD77" s="233">
        <v>0</v>
      </c>
      <c r="CE77" s="233">
        <v>0</v>
      </c>
      <c r="CF77" s="233">
        <v>0</v>
      </c>
      <c r="CG77" s="233">
        <v>0</v>
      </c>
      <c r="CH77" s="233">
        <v>0</v>
      </c>
      <c r="CI77" s="233">
        <v>0</v>
      </c>
      <c r="CJ77" s="237">
        <v>0</v>
      </c>
      <c r="CK77" s="177" t="s">
        <v>128</v>
      </c>
      <c r="CL77" s="177" t="s">
        <v>128</v>
      </c>
      <c r="CM77" s="155" t="s">
        <v>109</v>
      </c>
      <c r="CN77" s="229">
        <v>0</v>
      </c>
      <c r="CO77" s="229">
        <v>1</v>
      </c>
      <c r="CP77" t="s">
        <v>337</v>
      </c>
      <c r="CR77" s="248"/>
    </row>
    <row r="78" spans="1:96" ht="14.4" x14ac:dyDescent="0.3">
      <c r="A78">
        <v>75</v>
      </c>
      <c r="B78" s="173" t="s">
        <v>723</v>
      </c>
      <c r="C78" s="259"/>
      <c r="D78" s="260"/>
      <c r="E78" t="s">
        <v>109</v>
      </c>
      <c r="F78" t="s">
        <v>724</v>
      </c>
      <c r="G78" s="177" t="s">
        <v>166</v>
      </c>
      <c r="H78" s="177" t="s">
        <v>146</v>
      </c>
      <c r="I78" s="177" t="s">
        <v>109</v>
      </c>
      <c r="J78" s="177" t="s">
        <v>109</v>
      </c>
      <c r="K78" s="177" t="s">
        <v>114</v>
      </c>
      <c r="L78" s="177" t="s">
        <v>251</v>
      </c>
      <c r="M78" s="177" t="s">
        <v>505</v>
      </c>
      <c r="N78" s="177" t="s">
        <v>109</v>
      </c>
      <c r="O78" s="180" t="s">
        <v>109</v>
      </c>
      <c r="P78" s="177" t="s">
        <v>109</v>
      </c>
      <c r="Q78" s="177" t="s">
        <v>109</v>
      </c>
      <c r="R78" s="177" t="s">
        <v>725</v>
      </c>
      <c r="S78" s="177" t="s">
        <v>109</v>
      </c>
      <c r="T78" s="177" t="s">
        <v>116</v>
      </c>
      <c r="U78" s="177" t="s">
        <v>117</v>
      </c>
      <c r="V78" s="177" t="b">
        <v>0</v>
      </c>
      <c r="W78" s="177" t="s">
        <v>109</v>
      </c>
      <c r="X78" s="261"/>
      <c r="Y78" s="177" t="s">
        <v>118</v>
      </c>
      <c r="Z78" s="177" t="s">
        <v>118</v>
      </c>
      <c r="AA78" s="177" t="s">
        <v>119</v>
      </c>
      <c r="AB78" s="177" t="s">
        <v>109</v>
      </c>
      <c r="AC78" s="177">
        <v>2.1</v>
      </c>
      <c r="AD78" s="177" t="s">
        <v>119</v>
      </c>
      <c r="AE78" s="177" t="s">
        <v>720</v>
      </c>
      <c r="AF78" s="177">
        <v>13</v>
      </c>
      <c r="AG78" s="177">
        <v>9170</v>
      </c>
      <c r="AH78" s="177" t="s">
        <v>121</v>
      </c>
      <c r="AI78" s="177" t="b">
        <v>1</v>
      </c>
      <c r="AJ78" s="180">
        <v>45642</v>
      </c>
      <c r="AK78" s="177" t="s">
        <v>122</v>
      </c>
      <c r="AL78" s="177" t="s">
        <v>109</v>
      </c>
      <c r="AM78" s="177" t="s">
        <v>109</v>
      </c>
      <c r="AN78" s="177" t="b">
        <v>0</v>
      </c>
      <c r="AO78" s="177" t="s">
        <v>109</v>
      </c>
      <c r="AP78" s="177" t="s">
        <v>109</v>
      </c>
      <c r="AQ78" s="177" t="s">
        <v>118</v>
      </c>
      <c r="AR78" s="177" t="b">
        <v>0</v>
      </c>
      <c r="AS78" s="177" t="s">
        <v>123</v>
      </c>
      <c r="AT78" s="180" t="s">
        <v>123</v>
      </c>
      <c r="AU78" s="177" t="s">
        <v>124</v>
      </c>
      <c r="AV78" s="177" t="s">
        <v>109</v>
      </c>
      <c r="AW78" s="177" t="s">
        <v>118</v>
      </c>
      <c r="AX78" s="177" t="s">
        <v>118</v>
      </c>
      <c r="AY78" s="177" t="s">
        <v>109</v>
      </c>
      <c r="AZ78" s="177" t="s">
        <v>109</v>
      </c>
      <c r="BA78" s="177" t="s">
        <v>125</v>
      </c>
      <c r="BB78" s="177" t="s">
        <v>109</v>
      </c>
      <c r="BC78" s="177" t="s">
        <v>296</v>
      </c>
      <c r="BD78" s="177" t="s">
        <v>109</v>
      </c>
      <c r="BE78" s="180" t="s">
        <v>109</v>
      </c>
      <c r="BF78" s="180" t="s">
        <v>127</v>
      </c>
      <c r="BG78" s="180" t="s">
        <v>119</v>
      </c>
      <c r="BH78" s="177" t="s">
        <v>109</v>
      </c>
      <c r="BI78" s="177" t="s">
        <v>109</v>
      </c>
      <c r="BJ78" s="177" t="b">
        <v>1</v>
      </c>
      <c r="BK78" s="233" t="s">
        <v>118</v>
      </c>
      <c r="BL78" s="234" t="s">
        <v>128</v>
      </c>
      <c r="BM78" s="233">
        <f>74188.1718877344-SUM(BM79:BM80)</f>
        <v>64063.055657734396</v>
      </c>
      <c r="BN78" s="238">
        <f>1749.03025-SUM(BN79:BN80)</f>
        <v>44.950990000000047</v>
      </c>
      <c r="BO78" s="238">
        <f>3598.1577-SUM(BO79:BO80)</f>
        <v>1678.6660200000001</v>
      </c>
      <c r="BP78" s="238">
        <f>2372.47985-SUM(BP79:BP80)</f>
        <v>377.58973000000015</v>
      </c>
      <c r="BQ78" s="238">
        <f>943.76349-SUM(BQ79:BQ80)</f>
        <v>609.03044</v>
      </c>
      <c r="BR78" s="238">
        <f>1505.01098-SUM(BR79:BR80)</f>
        <v>847.80216000000007</v>
      </c>
      <c r="BS78" s="238">
        <f>387.3299-SUM(BS79:BS80)</f>
        <v>317.27364999999998</v>
      </c>
      <c r="BT78" s="238">
        <f>2071.8301245-SUM(BT79:BT80)</f>
        <v>2071.8301244999998</v>
      </c>
      <c r="BU78" s="238">
        <f>2675.3763448-SUM(BU79:BU80)</f>
        <v>2675.3763448</v>
      </c>
      <c r="BV78" s="238">
        <f>2977.5519-SUM(BV79:BV80)</f>
        <v>2977.5518999999999</v>
      </c>
      <c r="BW78" s="238">
        <f>3330.200833-SUM(BW79:BW80)</f>
        <v>3330.2008329999999</v>
      </c>
      <c r="BX78" s="238">
        <f>3718.1760347-SUM(BX79:BX80)</f>
        <v>3718.1760346999999</v>
      </c>
      <c r="BY78" s="234">
        <v>701.97206000000006</v>
      </c>
      <c r="BZ78" s="236" t="s">
        <v>109</v>
      </c>
      <c r="CA78" s="236" t="s">
        <v>109</v>
      </c>
      <c r="CB78" s="236" t="s">
        <v>726</v>
      </c>
      <c r="CC78" s="235">
        <f>36.87749-SUM(CC79:CC80)</f>
        <v>36.877490000000002</v>
      </c>
      <c r="CD78" s="235">
        <f>0-SUM(CD79:CD80)</f>
        <v>0</v>
      </c>
      <c r="CE78" s="235">
        <f>8460.41777-SUM(CE79:CE80)</f>
        <v>0</v>
      </c>
      <c r="CF78" s="235">
        <f>109.41308-SUM(CF79:CF80)</f>
        <v>0</v>
      </c>
      <c r="CG78" s="235">
        <f>2092.66507-SUM(CG79:CG80)</f>
        <v>607.43593999999985</v>
      </c>
      <c r="CH78" s="235">
        <f>146.03486-SUM(CH79:CH80)</f>
        <v>75.978610000000003</v>
      </c>
      <c r="CI78" s="235">
        <f>0-SUM(CI79:CI80)</f>
        <v>0</v>
      </c>
      <c r="CJ78" s="237">
        <v>0</v>
      </c>
      <c r="CK78" s="177" t="s">
        <v>128</v>
      </c>
      <c r="CL78" s="177">
        <v>6.6</v>
      </c>
      <c r="CM78" s="155" t="s">
        <v>109</v>
      </c>
      <c r="CN78" s="229">
        <v>0</v>
      </c>
      <c r="CO78" s="229">
        <v>1</v>
      </c>
      <c r="CP78" t="s">
        <v>155</v>
      </c>
      <c r="CR78" s="248"/>
    </row>
    <row r="79" spans="1:96" ht="14.4" x14ac:dyDescent="0.3">
      <c r="A79">
        <v>76</v>
      </c>
      <c r="B79" s="173" t="s">
        <v>727</v>
      </c>
      <c r="C79" s="259"/>
      <c r="D79" s="260"/>
      <c r="E79" t="s">
        <v>191</v>
      </c>
      <c r="F79" t="s">
        <v>728</v>
      </c>
      <c r="G79" s="177" t="s">
        <v>166</v>
      </c>
      <c r="H79" s="177" t="s">
        <v>146</v>
      </c>
      <c r="I79" s="177" t="s">
        <v>113</v>
      </c>
      <c r="J79" s="177" t="s">
        <v>109</v>
      </c>
      <c r="K79" s="177" t="s">
        <v>114</v>
      </c>
      <c r="L79" s="177" t="s">
        <v>393</v>
      </c>
      <c r="M79" s="177" t="s">
        <v>109</v>
      </c>
      <c r="N79" s="177" t="s">
        <v>109</v>
      </c>
      <c r="O79" s="180">
        <v>45789</v>
      </c>
      <c r="P79" s="177" t="s">
        <v>729</v>
      </c>
      <c r="Q79" s="177" t="s">
        <v>109</v>
      </c>
      <c r="R79" s="177" t="s">
        <v>109</v>
      </c>
      <c r="S79" s="177" t="s">
        <v>109</v>
      </c>
      <c r="T79" s="177" t="s">
        <v>404</v>
      </c>
      <c r="U79" s="177" t="s">
        <v>117</v>
      </c>
      <c r="V79" s="177" t="b">
        <v>0</v>
      </c>
      <c r="W79" s="177" t="s">
        <v>109</v>
      </c>
      <c r="X79" s="261"/>
      <c r="Y79" s="177" t="s">
        <v>109</v>
      </c>
      <c r="Z79" s="176">
        <v>12.37</v>
      </c>
      <c r="AA79" s="177">
        <v>69</v>
      </c>
      <c r="AB79" s="177" t="s">
        <v>148</v>
      </c>
      <c r="AC79" s="177">
        <v>2.1</v>
      </c>
      <c r="AD79" s="177" t="s">
        <v>730</v>
      </c>
      <c r="AE79" s="177" t="s">
        <v>720</v>
      </c>
      <c r="AF79" s="177">
        <v>1</v>
      </c>
      <c r="AG79" s="177">
        <v>9170</v>
      </c>
      <c r="AH79" s="177" t="s">
        <v>121</v>
      </c>
      <c r="AI79" s="177" t="b">
        <v>1</v>
      </c>
      <c r="AJ79" s="180">
        <v>44117</v>
      </c>
      <c r="AK79" s="177" t="s">
        <v>122</v>
      </c>
      <c r="AL79" s="177" t="s">
        <v>109</v>
      </c>
      <c r="AM79" s="177" t="s">
        <v>109</v>
      </c>
      <c r="AN79" s="177" t="b">
        <v>0</v>
      </c>
      <c r="AO79" s="177" t="s">
        <v>109</v>
      </c>
      <c r="AP79" s="177" t="s">
        <v>109</v>
      </c>
      <c r="AQ79" s="177" t="s">
        <v>118</v>
      </c>
      <c r="AR79" s="177" t="b">
        <v>0</v>
      </c>
      <c r="AS79" s="177" t="s">
        <v>123</v>
      </c>
      <c r="AT79" s="180" t="s">
        <v>123</v>
      </c>
      <c r="AU79" s="177" t="s">
        <v>124</v>
      </c>
      <c r="AV79" s="177" t="s">
        <v>109</v>
      </c>
      <c r="AW79" s="177" t="s">
        <v>109</v>
      </c>
      <c r="AX79" s="177" t="s">
        <v>109</v>
      </c>
      <c r="AY79" s="177" t="s">
        <v>135</v>
      </c>
      <c r="AZ79" s="177" t="s">
        <v>109</v>
      </c>
      <c r="BA79" s="177" t="s">
        <v>109</v>
      </c>
      <c r="BB79" s="177" t="s">
        <v>109</v>
      </c>
      <c r="BC79" s="177" t="s">
        <v>126</v>
      </c>
      <c r="BD79" s="177" t="s">
        <v>109</v>
      </c>
      <c r="BE79" s="180" t="s">
        <v>385</v>
      </c>
      <c r="BF79" s="180" t="s">
        <v>731</v>
      </c>
      <c r="BG79" s="180" t="s">
        <v>732</v>
      </c>
      <c r="BH79" s="177" t="s">
        <v>240</v>
      </c>
      <c r="BI79" s="177" t="s">
        <v>109</v>
      </c>
      <c r="BJ79" s="177" t="b">
        <v>1</v>
      </c>
      <c r="BK79" s="233">
        <v>300.60631999999998</v>
      </c>
      <c r="BL79" s="234" t="s">
        <v>128</v>
      </c>
      <c r="BM79" s="233">
        <v>1555.4096999999999</v>
      </c>
      <c r="BN79" s="233">
        <v>0</v>
      </c>
      <c r="BO79" s="233">
        <v>103.61735</v>
      </c>
      <c r="BP79" s="233">
        <v>499.08299</v>
      </c>
      <c r="BQ79" s="233">
        <v>225.31997000000001</v>
      </c>
      <c r="BR79" s="233">
        <v>657.33313999999996</v>
      </c>
      <c r="BS79" s="233">
        <v>70.056250000000006</v>
      </c>
      <c r="BT79" s="233">
        <v>0</v>
      </c>
      <c r="BU79" s="233">
        <v>0</v>
      </c>
      <c r="BV79" s="233">
        <v>0</v>
      </c>
      <c r="BW79" s="233">
        <v>0</v>
      </c>
      <c r="BX79" s="233">
        <v>0</v>
      </c>
      <c r="BY79" s="234">
        <v>0</v>
      </c>
      <c r="BZ79" s="236" t="s">
        <v>109</v>
      </c>
      <c r="CA79" s="236" t="s">
        <v>109</v>
      </c>
      <c r="CB79" s="236" t="s">
        <v>196</v>
      </c>
      <c r="CC79" s="233">
        <v>0</v>
      </c>
      <c r="CD79" s="233">
        <v>0</v>
      </c>
      <c r="CE79" s="233">
        <v>0</v>
      </c>
      <c r="CF79" s="233">
        <v>0</v>
      </c>
      <c r="CG79" s="233">
        <v>1485.3534500000001</v>
      </c>
      <c r="CH79" s="233">
        <v>70.056250000000006</v>
      </c>
      <c r="CI79" s="233">
        <v>0</v>
      </c>
      <c r="CJ79" s="177">
        <v>0.46</v>
      </c>
      <c r="CK79" s="177" t="s">
        <v>733</v>
      </c>
      <c r="CL79" s="177" t="s">
        <v>128</v>
      </c>
      <c r="CM79" s="155" t="s">
        <v>109</v>
      </c>
      <c r="CN79" s="229">
        <v>0</v>
      </c>
      <c r="CO79" s="229">
        <v>1</v>
      </c>
      <c r="CP79" t="s">
        <v>734</v>
      </c>
      <c r="CR79" s="248"/>
    </row>
    <row r="80" spans="1:96" ht="14.4" x14ac:dyDescent="0.3">
      <c r="A80">
        <v>77</v>
      </c>
      <c r="B80" s="173" t="s">
        <v>735</v>
      </c>
      <c r="C80" s="259"/>
      <c r="D80" s="260"/>
      <c r="E80" t="s">
        <v>191</v>
      </c>
      <c r="F80" t="s">
        <v>736</v>
      </c>
      <c r="G80" s="177" t="s">
        <v>166</v>
      </c>
      <c r="H80" s="177" t="s">
        <v>146</v>
      </c>
      <c r="I80" s="177" t="s">
        <v>113</v>
      </c>
      <c r="J80" s="177" t="s">
        <v>109</v>
      </c>
      <c r="K80" s="177" t="s">
        <v>114</v>
      </c>
      <c r="L80" s="177" t="s">
        <v>393</v>
      </c>
      <c r="M80" s="177" t="s">
        <v>109</v>
      </c>
      <c r="N80" s="177" t="s">
        <v>109</v>
      </c>
      <c r="O80" s="180">
        <v>45789</v>
      </c>
      <c r="P80" s="177" t="s">
        <v>737</v>
      </c>
      <c r="Q80" s="177" t="s">
        <v>109</v>
      </c>
      <c r="R80" s="177" t="s">
        <v>109</v>
      </c>
      <c r="S80" s="177" t="s">
        <v>109</v>
      </c>
      <c r="T80" s="177" t="s">
        <v>404</v>
      </c>
      <c r="U80" s="177" t="s">
        <v>117</v>
      </c>
      <c r="V80" s="177" t="b">
        <v>0</v>
      </c>
      <c r="W80" s="177" t="s">
        <v>109</v>
      </c>
      <c r="X80" s="261"/>
      <c r="Y80" s="177" t="s">
        <v>109</v>
      </c>
      <c r="Z80" s="176">
        <v>10.79</v>
      </c>
      <c r="AA80" s="177">
        <v>69</v>
      </c>
      <c r="AB80" s="177" t="s">
        <v>738</v>
      </c>
      <c r="AC80" s="177">
        <v>2.1</v>
      </c>
      <c r="AD80" s="177" t="s">
        <v>739</v>
      </c>
      <c r="AE80" s="177" t="s">
        <v>720</v>
      </c>
      <c r="AF80" s="177">
        <v>1</v>
      </c>
      <c r="AG80" s="177">
        <v>9170</v>
      </c>
      <c r="AH80" s="177" t="s">
        <v>121</v>
      </c>
      <c r="AI80" s="177" t="b">
        <v>1</v>
      </c>
      <c r="AJ80" s="180">
        <v>43578</v>
      </c>
      <c r="AK80" s="177" t="s">
        <v>122</v>
      </c>
      <c r="AL80" s="177" t="s">
        <v>109</v>
      </c>
      <c r="AM80" s="177" t="s">
        <v>109</v>
      </c>
      <c r="AN80" s="177" t="b">
        <v>0</v>
      </c>
      <c r="AO80" s="177" t="s">
        <v>109</v>
      </c>
      <c r="AP80" s="177" t="s">
        <v>109</v>
      </c>
      <c r="AQ80" s="177" t="s">
        <v>118</v>
      </c>
      <c r="AR80" s="177" t="b">
        <v>0</v>
      </c>
      <c r="AS80" s="177" t="s">
        <v>123</v>
      </c>
      <c r="AT80" s="180" t="s">
        <v>123</v>
      </c>
      <c r="AU80" s="177" t="s">
        <v>124</v>
      </c>
      <c r="AV80" s="177" t="s">
        <v>109</v>
      </c>
      <c r="AW80" s="177" t="s">
        <v>109</v>
      </c>
      <c r="AX80" s="177" t="s">
        <v>109</v>
      </c>
      <c r="AY80" s="177" t="s">
        <v>135</v>
      </c>
      <c r="AZ80" s="177" t="s">
        <v>109</v>
      </c>
      <c r="BA80" s="177" t="s">
        <v>125</v>
      </c>
      <c r="BB80" s="177" t="s">
        <v>109</v>
      </c>
      <c r="BC80" s="177" t="s">
        <v>126</v>
      </c>
      <c r="BD80" s="177" t="s">
        <v>109</v>
      </c>
      <c r="BE80" s="180" t="s">
        <v>171</v>
      </c>
      <c r="BF80" s="180" t="s">
        <v>152</v>
      </c>
      <c r="BG80" s="180" t="s">
        <v>740</v>
      </c>
      <c r="BH80" s="177" t="s">
        <v>138</v>
      </c>
      <c r="BI80" s="177" t="s">
        <v>109</v>
      </c>
      <c r="BJ80" s="177" t="b">
        <v>0</v>
      </c>
      <c r="BK80" s="233">
        <v>6052.0479999999998</v>
      </c>
      <c r="BL80" s="234" t="s">
        <v>128</v>
      </c>
      <c r="BM80" s="233">
        <v>8569.7065299999995</v>
      </c>
      <c r="BN80" s="233">
        <v>1704.07926</v>
      </c>
      <c r="BO80" s="233">
        <v>1815.8743300000001</v>
      </c>
      <c r="BP80" s="233">
        <v>1495.8071299999999</v>
      </c>
      <c r="BQ80" s="233">
        <v>109.41307999999999</v>
      </c>
      <c r="BR80" s="233">
        <v>-0.12432</v>
      </c>
      <c r="BS80" s="233">
        <v>0</v>
      </c>
      <c r="BT80" s="233">
        <v>0</v>
      </c>
      <c r="BU80" s="233">
        <v>0</v>
      </c>
      <c r="BV80" s="233">
        <v>0</v>
      </c>
      <c r="BW80" s="233">
        <v>0</v>
      </c>
      <c r="BX80" s="233">
        <v>0</v>
      </c>
      <c r="BY80" s="234">
        <v>0</v>
      </c>
      <c r="BZ80" s="236" t="s">
        <v>109</v>
      </c>
      <c r="CA80" s="236" t="s">
        <v>109</v>
      </c>
      <c r="CB80" s="236" t="s">
        <v>270</v>
      </c>
      <c r="CC80" s="233">
        <v>0</v>
      </c>
      <c r="CD80" s="233">
        <v>0</v>
      </c>
      <c r="CE80" s="233">
        <v>8460.41777</v>
      </c>
      <c r="CF80" s="233">
        <v>109.41307999999999</v>
      </c>
      <c r="CG80" s="233">
        <v>-0.12432</v>
      </c>
      <c r="CH80" s="233">
        <v>0</v>
      </c>
      <c r="CI80" s="233">
        <v>0</v>
      </c>
      <c r="CJ80" s="237">
        <v>0</v>
      </c>
      <c r="CK80" s="177" t="s">
        <v>128</v>
      </c>
      <c r="CL80" s="177" t="s">
        <v>128</v>
      </c>
      <c r="CM80" s="155" t="s">
        <v>109</v>
      </c>
      <c r="CN80" s="229">
        <v>0</v>
      </c>
      <c r="CO80" s="229">
        <v>1</v>
      </c>
      <c r="CP80" t="s">
        <v>337</v>
      </c>
      <c r="CR80" s="248"/>
    </row>
    <row r="81" spans="1:96" ht="86.4" x14ac:dyDescent="0.3">
      <c r="A81">
        <v>78</v>
      </c>
      <c r="B81" s="173" t="s">
        <v>741</v>
      </c>
      <c r="C81" s="259"/>
      <c r="D81" s="260"/>
      <c r="E81" t="s">
        <v>109</v>
      </c>
      <c r="F81" t="s">
        <v>742</v>
      </c>
      <c r="G81" s="177" t="s">
        <v>439</v>
      </c>
      <c r="H81" s="177" t="s">
        <v>146</v>
      </c>
      <c r="I81" s="177" t="s">
        <v>113</v>
      </c>
      <c r="J81" s="177" t="s">
        <v>109</v>
      </c>
      <c r="K81" s="177" t="s">
        <v>114</v>
      </c>
      <c r="L81" s="177" t="s">
        <v>432</v>
      </c>
      <c r="M81" s="177" t="s">
        <v>109</v>
      </c>
      <c r="N81" s="177" t="s">
        <v>109</v>
      </c>
      <c r="O81" s="180" t="s">
        <v>109</v>
      </c>
      <c r="P81" s="177" t="s">
        <v>109</v>
      </c>
      <c r="Q81" s="177" t="s">
        <v>109</v>
      </c>
      <c r="R81" s="177" t="s">
        <v>109</v>
      </c>
      <c r="S81" s="177" t="s">
        <v>109</v>
      </c>
      <c r="T81" s="177" t="s">
        <v>116</v>
      </c>
      <c r="U81" s="177" t="s">
        <v>117</v>
      </c>
      <c r="V81" s="177" t="b">
        <v>0</v>
      </c>
      <c r="W81" s="177" t="s">
        <v>224</v>
      </c>
      <c r="X81" s="261"/>
      <c r="Y81" s="177" t="s">
        <v>109</v>
      </c>
      <c r="Z81" s="177" t="s">
        <v>109</v>
      </c>
      <c r="AA81" s="177" t="s">
        <v>119</v>
      </c>
      <c r="AB81" s="177" t="s">
        <v>743</v>
      </c>
      <c r="AC81" s="177">
        <v>4.3</v>
      </c>
      <c r="AD81" s="177" t="s">
        <v>744</v>
      </c>
      <c r="AE81" s="177" t="s">
        <v>745</v>
      </c>
      <c r="AF81" s="177">
        <v>53</v>
      </c>
      <c r="AG81" s="177">
        <v>10138</v>
      </c>
      <c r="AH81" s="177" t="s">
        <v>121</v>
      </c>
      <c r="AI81" s="177" t="b">
        <v>1</v>
      </c>
      <c r="AJ81" s="180">
        <v>45637</v>
      </c>
      <c r="AK81" s="177" t="s">
        <v>122</v>
      </c>
      <c r="AL81" s="177" t="s">
        <v>109</v>
      </c>
      <c r="AM81" s="177" t="s">
        <v>109</v>
      </c>
      <c r="AN81" s="177" t="b">
        <v>0</v>
      </c>
      <c r="AO81" s="177" t="s">
        <v>109</v>
      </c>
      <c r="AP81" s="177" t="s">
        <v>109</v>
      </c>
      <c r="AQ81" s="177" t="s">
        <v>109</v>
      </c>
      <c r="AR81" s="177" t="b">
        <v>0</v>
      </c>
      <c r="AS81" s="177" t="s">
        <v>123</v>
      </c>
      <c r="AT81" s="180" t="s">
        <v>123</v>
      </c>
      <c r="AU81" s="177" t="s">
        <v>109</v>
      </c>
      <c r="AV81" s="177" t="s">
        <v>109</v>
      </c>
      <c r="AW81" s="177" t="s">
        <v>226</v>
      </c>
      <c r="AX81" s="177" t="s">
        <v>118</v>
      </c>
      <c r="AY81" s="177" t="s">
        <v>135</v>
      </c>
      <c r="AZ81" s="177" t="s">
        <v>109</v>
      </c>
      <c r="BA81" s="177" t="s">
        <v>218</v>
      </c>
      <c r="BB81" s="177" t="s">
        <v>109</v>
      </c>
      <c r="BC81" s="177" t="s">
        <v>126</v>
      </c>
      <c r="BD81" s="177" t="s">
        <v>109</v>
      </c>
      <c r="BE81" s="180" t="s">
        <v>109</v>
      </c>
      <c r="BF81" s="180" t="s">
        <v>127</v>
      </c>
      <c r="BG81" s="180" t="s">
        <v>119</v>
      </c>
      <c r="BH81" s="177" t="s">
        <v>109</v>
      </c>
      <c r="BI81" s="177" t="s">
        <v>109</v>
      </c>
      <c r="BJ81" s="177" t="b">
        <v>1</v>
      </c>
      <c r="BK81" s="233" t="s">
        <v>118</v>
      </c>
      <c r="BL81" s="234" t="s">
        <v>128</v>
      </c>
      <c r="BM81" s="233">
        <f>105253.272813043-SUM(BM82:BM84)</f>
        <v>71700.329104363802</v>
      </c>
      <c r="BN81" s="235">
        <f>7064.0486226-SUM(BN82:BN84)</f>
        <v>84.410732400000597</v>
      </c>
      <c r="BO81" s="235">
        <f>7502.3116325-SUM(BO82:BO84)</f>
        <v>639.66696160000083</v>
      </c>
      <c r="BP81" s="235">
        <f>2615.0034091-SUM(BP82:BP84)</f>
        <v>-147.855231</v>
      </c>
      <c r="BQ81" s="235">
        <f>2836.4765802-SUM(BQ82:BQ84)</f>
        <v>102.49735000000055</v>
      </c>
      <c r="BR81" s="235">
        <f>3683.7259555-SUM(BR82:BR84)</f>
        <v>640.90894949999984</v>
      </c>
      <c r="BS81" s="235">
        <f>399.4154873-SUM(BS82:BS84)</f>
        <v>201.7565573</v>
      </c>
      <c r="BT81" s="235">
        <f>3269.3921839-SUM(BT82:BT84)</f>
        <v>2425.7697637000001</v>
      </c>
      <c r="BU81" s="235">
        <f>3909.8821074-SUM(BU82:BU84)</f>
        <v>3909.8821074000002</v>
      </c>
      <c r="BV81" s="235">
        <f>5220.997342-SUM(BV82:BV84)</f>
        <v>5220.9973419999997</v>
      </c>
      <c r="BW81" s="235">
        <f>5595.4266956-SUM(BW82:BW84)</f>
        <v>5595.4266956000001</v>
      </c>
      <c r="BX81" s="235">
        <f>5618.1648535-SUM(BX82:BX84)</f>
        <v>5618.1648535000004</v>
      </c>
      <c r="BY81" s="234">
        <v>1017.6163300000001</v>
      </c>
      <c r="BZ81" s="236" t="s">
        <v>109</v>
      </c>
      <c r="CA81" s="236" t="s">
        <v>109</v>
      </c>
      <c r="CB81" s="236" t="s">
        <v>746</v>
      </c>
      <c r="CC81" s="235">
        <f>7248.1199602-SUM(CC82:CC84)</f>
        <v>268.48207000000002</v>
      </c>
      <c r="CD81" s="235">
        <f>6199.1916709-SUM(CD82:CD84)</f>
        <v>11.545610000000124</v>
      </c>
      <c r="CE81" s="235">
        <f>83.5885705-SUM(CE82:CE84)</f>
        <v>0</v>
      </c>
      <c r="CF81" s="235">
        <f>1329.4896023-SUM(CF82:CF84)</f>
        <v>1058.2385122999999</v>
      </c>
      <c r="CG81" s="235">
        <f>7409.8332001-SUM(CG82:CG84)</f>
        <v>-1.5628757000004043</v>
      </c>
      <c r="CH81" s="235">
        <f>13.1547773-SUM(CH82:CH84)</f>
        <v>0.76447729999999936</v>
      </c>
      <c r="CI81" s="235">
        <f>3836.9190409-SUM(CI82:CI84)</f>
        <v>1359.6102406999998</v>
      </c>
      <c r="CJ81" s="237">
        <v>0</v>
      </c>
      <c r="CK81" s="177" t="s">
        <v>128</v>
      </c>
      <c r="CL81" s="177">
        <v>5.0999999999999996</v>
      </c>
      <c r="CM81" s="155" t="s">
        <v>109</v>
      </c>
      <c r="CN81" s="229">
        <v>0.13550000000000001</v>
      </c>
      <c r="CO81" s="229">
        <v>0.86450000000000005</v>
      </c>
      <c r="CP81" s="138" t="s">
        <v>747</v>
      </c>
      <c r="CR81" s="248"/>
    </row>
    <row r="82" spans="1:96" ht="43.2" x14ac:dyDescent="0.3">
      <c r="A82">
        <v>79</v>
      </c>
      <c r="B82" s="173" t="s">
        <v>748</v>
      </c>
      <c r="C82" s="259"/>
      <c r="D82" s="260"/>
      <c r="E82" t="s">
        <v>749</v>
      </c>
      <c r="F82" t="s">
        <v>750</v>
      </c>
      <c r="G82" s="177" t="s">
        <v>439</v>
      </c>
      <c r="H82" s="177" t="s">
        <v>113</v>
      </c>
      <c r="I82" s="177" t="s">
        <v>109</v>
      </c>
      <c r="J82" s="177" t="s">
        <v>109</v>
      </c>
      <c r="K82" s="177" t="s">
        <v>114</v>
      </c>
      <c r="L82" s="177" t="s">
        <v>432</v>
      </c>
      <c r="M82" s="177" t="s">
        <v>109</v>
      </c>
      <c r="N82" s="177" t="s">
        <v>109</v>
      </c>
      <c r="O82" s="180">
        <v>45777</v>
      </c>
      <c r="P82" s="177" t="s">
        <v>109</v>
      </c>
      <c r="Q82" s="177" t="s">
        <v>109</v>
      </c>
      <c r="R82" s="177" t="s">
        <v>109</v>
      </c>
      <c r="S82" s="177" t="s">
        <v>109</v>
      </c>
      <c r="T82" s="177" t="s">
        <v>116</v>
      </c>
      <c r="U82" s="177" t="s">
        <v>117</v>
      </c>
      <c r="V82" s="177" t="b">
        <v>0</v>
      </c>
      <c r="W82" s="177" t="s">
        <v>109</v>
      </c>
      <c r="X82" s="261"/>
      <c r="Y82" s="177" t="s">
        <v>109</v>
      </c>
      <c r="Z82" s="177" t="s">
        <v>109</v>
      </c>
      <c r="AA82" s="177" t="s">
        <v>433</v>
      </c>
      <c r="AB82" s="177" t="s">
        <v>434</v>
      </c>
      <c r="AC82" s="177">
        <v>4.3</v>
      </c>
      <c r="AD82" s="177" t="s">
        <v>119</v>
      </c>
      <c r="AE82" s="177" t="s">
        <v>745</v>
      </c>
      <c r="AF82" s="177">
        <v>1</v>
      </c>
      <c r="AG82" s="177">
        <v>10138</v>
      </c>
      <c r="AH82" s="177" t="s">
        <v>121</v>
      </c>
      <c r="AI82" s="177" t="b">
        <v>1</v>
      </c>
      <c r="AJ82" s="180">
        <v>44531</v>
      </c>
      <c r="AK82" s="177" t="s">
        <v>122</v>
      </c>
      <c r="AL82" s="177" t="s">
        <v>109</v>
      </c>
      <c r="AM82" s="177" t="s">
        <v>109</v>
      </c>
      <c r="AN82" s="177" t="b">
        <v>0</v>
      </c>
      <c r="AO82" s="177" t="s">
        <v>109</v>
      </c>
      <c r="AP82" s="177" t="s">
        <v>109</v>
      </c>
      <c r="AQ82" s="177" t="s">
        <v>109</v>
      </c>
      <c r="AR82" s="177" t="b">
        <v>0</v>
      </c>
      <c r="AS82" s="177" t="s">
        <v>123</v>
      </c>
      <c r="AT82" s="180" t="s">
        <v>123</v>
      </c>
      <c r="AU82" s="177" t="s">
        <v>109</v>
      </c>
      <c r="AV82" s="177" t="s">
        <v>109</v>
      </c>
      <c r="AW82" s="177" t="s">
        <v>118</v>
      </c>
      <c r="AX82" s="177" t="s">
        <v>118</v>
      </c>
      <c r="AY82" s="177" t="s">
        <v>135</v>
      </c>
      <c r="AZ82" s="177" t="s">
        <v>109</v>
      </c>
      <c r="BA82" s="177" t="s">
        <v>218</v>
      </c>
      <c r="BB82" s="177" t="s">
        <v>109</v>
      </c>
      <c r="BC82" s="177" t="s">
        <v>126</v>
      </c>
      <c r="BD82" s="177" t="s">
        <v>109</v>
      </c>
      <c r="BE82" s="180" t="s">
        <v>751</v>
      </c>
      <c r="BF82" s="180" t="s">
        <v>453</v>
      </c>
      <c r="BG82" s="180" t="s">
        <v>752</v>
      </c>
      <c r="BH82" s="177" t="s">
        <v>459</v>
      </c>
      <c r="BI82" s="177" t="s">
        <v>109</v>
      </c>
      <c r="BJ82" s="177" t="b">
        <v>1</v>
      </c>
      <c r="BK82" s="233">
        <v>9874.4119100000007</v>
      </c>
      <c r="BL82" s="234" t="s">
        <v>128</v>
      </c>
      <c r="BM82" s="233">
        <v>7293.7181158459998</v>
      </c>
      <c r="BN82" s="233">
        <v>0</v>
      </c>
      <c r="BO82" s="233">
        <v>674.99860999999999</v>
      </c>
      <c r="BP82" s="233">
        <v>2679.2700696000002</v>
      </c>
      <c r="BQ82" s="233">
        <v>2462.7281401999999</v>
      </c>
      <c r="BR82" s="233">
        <v>1464.3309959999999</v>
      </c>
      <c r="BS82" s="233">
        <v>12.3903</v>
      </c>
      <c r="BT82" s="233">
        <v>0</v>
      </c>
      <c r="BU82" s="233">
        <v>0</v>
      </c>
      <c r="BV82" s="233">
        <v>0</v>
      </c>
      <c r="BW82" s="233">
        <v>0</v>
      </c>
      <c r="BX82" s="233">
        <v>0</v>
      </c>
      <c r="BY82" s="234">
        <v>0</v>
      </c>
      <c r="BZ82" s="236" t="s">
        <v>109</v>
      </c>
      <c r="CA82" s="236" t="s">
        <v>109</v>
      </c>
      <c r="CB82" s="236" t="s">
        <v>196</v>
      </c>
      <c r="CC82" s="233">
        <v>0</v>
      </c>
      <c r="CD82" s="233">
        <v>0</v>
      </c>
      <c r="CE82" s="233">
        <v>0</v>
      </c>
      <c r="CF82" s="233">
        <v>0</v>
      </c>
      <c r="CG82" s="233">
        <v>7281.3278158000003</v>
      </c>
      <c r="CH82" s="233">
        <v>12.3903</v>
      </c>
      <c r="CI82" s="233">
        <v>0</v>
      </c>
      <c r="CJ82" s="237">
        <v>0</v>
      </c>
      <c r="CK82" s="177" t="s">
        <v>128</v>
      </c>
      <c r="CL82" s="177" t="s">
        <v>128</v>
      </c>
      <c r="CM82" s="155" t="s">
        <v>109</v>
      </c>
      <c r="CN82" s="229">
        <v>0.13550000000000001</v>
      </c>
      <c r="CO82" s="229">
        <v>0.86450000000000005</v>
      </c>
      <c r="CP82" s="138" t="s">
        <v>753</v>
      </c>
      <c r="CR82" s="248"/>
    </row>
    <row r="83" spans="1:96" ht="14.4" x14ac:dyDescent="0.3">
      <c r="A83">
        <v>80</v>
      </c>
      <c r="B83" s="173" t="s">
        <v>754</v>
      </c>
      <c r="C83" s="259"/>
      <c r="D83" s="260"/>
      <c r="E83" t="s">
        <v>109</v>
      </c>
      <c r="F83" t="s">
        <v>750</v>
      </c>
      <c r="G83" s="177" t="s">
        <v>439</v>
      </c>
      <c r="H83" s="177" t="s">
        <v>113</v>
      </c>
      <c r="I83" s="177" t="s">
        <v>109</v>
      </c>
      <c r="J83" s="177" t="s">
        <v>109</v>
      </c>
      <c r="K83" s="177" t="s">
        <v>114</v>
      </c>
      <c r="L83" s="177" t="s">
        <v>432</v>
      </c>
      <c r="M83" s="177" t="s">
        <v>109</v>
      </c>
      <c r="N83" s="177" t="s">
        <v>109</v>
      </c>
      <c r="O83" s="180" t="s">
        <v>109</v>
      </c>
      <c r="P83" s="177" t="s">
        <v>109</v>
      </c>
      <c r="Q83" s="177" t="s">
        <v>109</v>
      </c>
      <c r="R83" s="177" t="s">
        <v>109</v>
      </c>
      <c r="S83" s="177" t="s">
        <v>109</v>
      </c>
      <c r="T83" s="177" t="s">
        <v>116</v>
      </c>
      <c r="U83" s="177" t="s">
        <v>117</v>
      </c>
      <c r="V83" s="177" t="b">
        <v>0</v>
      </c>
      <c r="W83" s="177" t="s">
        <v>109</v>
      </c>
      <c r="X83" s="261"/>
      <c r="Y83" s="177" t="s">
        <v>109</v>
      </c>
      <c r="Z83" s="177" t="s">
        <v>109</v>
      </c>
      <c r="AA83" s="177" t="s">
        <v>433</v>
      </c>
      <c r="AB83" s="177" t="s">
        <v>434</v>
      </c>
      <c r="AC83" s="177">
        <v>4.3</v>
      </c>
      <c r="AD83" s="177" t="s">
        <v>119</v>
      </c>
      <c r="AE83" s="177" t="s">
        <v>745</v>
      </c>
      <c r="AF83" s="177">
        <v>1</v>
      </c>
      <c r="AG83" s="177">
        <v>10138</v>
      </c>
      <c r="AH83" s="177" t="s">
        <v>121</v>
      </c>
      <c r="AI83" s="177" t="b">
        <v>1</v>
      </c>
      <c r="AJ83" s="180">
        <v>43182</v>
      </c>
      <c r="AK83" s="177" t="s">
        <v>122</v>
      </c>
      <c r="AL83" s="177" t="s">
        <v>109</v>
      </c>
      <c r="AM83" s="177" t="s">
        <v>109</v>
      </c>
      <c r="AN83" s="177" t="b">
        <v>0</v>
      </c>
      <c r="AO83" s="177" t="s">
        <v>109</v>
      </c>
      <c r="AP83" s="177" t="s">
        <v>109</v>
      </c>
      <c r="AQ83" s="177" t="s">
        <v>109</v>
      </c>
      <c r="AR83" s="177" t="b">
        <v>0</v>
      </c>
      <c r="AS83" s="177" t="s">
        <v>123</v>
      </c>
      <c r="AT83" s="180" t="s">
        <v>123</v>
      </c>
      <c r="AU83" s="177" t="s">
        <v>109</v>
      </c>
      <c r="AV83" s="177" t="s">
        <v>109</v>
      </c>
      <c r="AW83" s="177" t="s">
        <v>118</v>
      </c>
      <c r="AX83" s="177" t="s">
        <v>118</v>
      </c>
      <c r="AY83" s="177" t="s">
        <v>135</v>
      </c>
      <c r="AZ83" s="177" t="s">
        <v>109</v>
      </c>
      <c r="BA83" s="177" t="s">
        <v>218</v>
      </c>
      <c r="BB83" s="177" t="s">
        <v>109</v>
      </c>
      <c r="BC83" s="177" t="s">
        <v>322</v>
      </c>
      <c r="BD83" s="177" t="s">
        <v>109</v>
      </c>
      <c r="BE83" s="180" t="s">
        <v>109</v>
      </c>
      <c r="BF83" s="180" t="s">
        <v>755</v>
      </c>
      <c r="BG83" s="180" t="s">
        <v>119</v>
      </c>
      <c r="BH83" s="177" t="s">
        <v>109</v>
      </c>
      <c r="BI83" s="177" t="s">
        <v>109</v>
      </c>
      <c r="BJ83" s="177" t="b">
        <v>0</v>
      </c>
      <c r="BK83" s="233">
        <v>1403.683</v>
      </c>
      <c r="BL83" s="234" t="s">
        <v>128</v>
      </c>
      <c r="BM83" s="233">
        <v>23781.916792609001</v>
      </c>
      <c r="BN83" s="233">
        <v>6979.6378901999997</v>
      </c>
      <c r="BO83" s="233">
        <v>6187.6460608999996</v>
      </c>
      <c r="BP83" s="233">
        <v>83.588570500000003</v>
      </c>
      <c r="BQ83" s="233">
        <v>271.25108999999998</v>
      </c>
      <c r="BR83" s="233">
        <v>130.06826000000001</v>
      </c>
      <c r="BS83" s="233">
        <v>0</v>
      </c>
      <c r="BT83" s="233">
        <v>0</v>
      </c>
      <c r="BU83" s="233">
        <v>0</v>
      </c>
      <c r="BV83" s="233">
        <v>0</v>
      </c>
      <c r="BW83" s="233">
        <v>0</v>
      </c>
      <c r="BX83" s="233">
        <v>0</v>
      </c>
      <c r="BY83" s="234">
        <v>0</v>
      </c>
      <c r="BZ83" s="236" t="s">
        <v>109</v>
      </c>
      <c r="CA83" s="236" t="s">
        <v>109</v>
      </c>
      <c r="CB83" s="236" t="s">
        <v>528</v>
      </c>
      <c r="CC83" s="233">
        <v>6979.6378901999997</v>
      </c>
      <c r="CD83" s="233">
        <v>6187.6460608999996</v>
      </c>
      <c r="CE83" s="233">
        <v>83.588570500000003</v>
      </c>
      <c r="CF83" s="233">
        <v>271.25108999999998</v>
      </c>
      <c r="CG83" s="233">
        <v>130.06826000000001</v>
      </c>
      <c r="CH83" s="233">
        <v>0</v>
      </c>
      <c r="CI83" s="233">
        <v>0</v>
      </c>
      <c r="CJ83" s="237">
        <v>0</v>
      </c>
      <c r="CK83" s="177" t="s">
        <v>128</v>
      </c>
      <c r="CL83" s="177" t="s">
        <v>128</v>
      </c>
      <c r="CM83" s="155" t="s">
        <v>109</v>
      </c>
      <c r="CN83" s="229">
        <v>0.13550000000000001</v>
      </c>
      <c r="CO83" s="229">
        <v>0.86450000000000005</v>
      </c>
      <c r="CP83" t="s">
        <v>756</v>
      </c>
      <c r="CR83" s="248"/>
    </row>
    <row r="84" spans="1:96" ht="14.4" x14ac:dyDescent="0.3">
      <c r="A84">
        <v>81</v>
      </c>
      <c r="B84" s="173" t="s">
        <v>757</v>
      </c>
      <c r="C84" s="259"/>
      <c r="D84" s="260"/>
      <c r="E84" t="s">
        <v>329</v>
      </c>
      <c r="F84" t="s">
        <v>758</v>
      </c>
      <c r="G84" s="177" t="s">
        <v>274</v>
      </c>
      <c r="H84" s="177" t="s">
        <v>113</v>
      </c>
      <c r="I84" s="177" t="s">
        <v>109</v>
      </c>
      <c r="J84" s="177" t="s">
        <v>109</v>
      </c>
      <c r="K84" s="177" t="s">
        <v>114</v>
      </c>
      <c r="L84" s="177" t="s">
        <v>235</v>
      </c>
      <c r="M84" s="177" t="s">
        <v>194</v>
      </c>
      <c r="N84" s="177" t="s">
        <v>194</v>
      </c>
      <c r="O84" s="180" t="s">
        <v>109</v>
      </c>
      <c r="P84" s="177" t="s">
        <v>109</v>
      </c>
      <c r="Q84" s="177" t="s">
        <v>109</v>
      </c>
      <c r="R84" s="177" t="s">
        <v>109</v>
      </c>
      <c r="S84" s="177" t="s">
        <v>109</v>
      </c>
      <c r="T84" s="177" t="s">
        <v>116</v>
      </c>
      <c r="U84" s="177" t="s">
        <v>117</v>
      </c>
      <c r="V84" s="177" t="s">
        <v>531</v>
      </c>
      <c r="W84" s="177" t="s">
        <v>109</v>
      </c>
      <c r="X84" s="261"/>
      <c r="Y84" s="177" t="s">
        <v>109</v>
      </c>
      <c r="Z84" s="177" t="s">
        <v>109</v>
      </c>
      <c r="AA84" s="177" t="s">
        <v>109</v>
      </c>
      <c r="AB84" s="177" t="s">
        <v>109</v>
      </c>
      <c r="AC84" s="177">
        <v>4.3</v>
      </c>
      <c r="AD84" s="177" t="s">
        <v>109</v>
      </c>
      <c r="AE84" s="177" t="s">
        <v>745</v>
      </c>
      <c r="AF84" s="177">
        <v>1</v>
      </c>
      <c r="AG84" s="177">
        <v>10138</v>
      </c>
      <c r="AH84" s="177" t="s">
        <v>121</v>
      </c>
      <c r="AI84" s="177" t="b">
        <v>1</v>
      </c>
      <c r="AJ84" s="180">
        <v>45595</v>
      </c>
      <c r="AK84" s="177" t="s">
        <v>122</v>
      </c>
      <c r="AL84" s="177" t="s">
        <v>109</v>
      </c>
      <c r="AM84" s="177" t="s">
        <v>109</v>
      </c>
      <c r="AN84" s="179" t="b">
        <v>0</v>
      </c>
      <c r="AO84" s="177" t="s">
        <v>109</v>
      </c>
      <c r="AP84" s="177" t="s">
        <v>109</v>
      </c>
      <c r="AQ84" s="177" t="s">
        <v>109</v>
      </c>
      <c r="AR84" s="177" t="b">
        <v>0</v>
      </c>
      <c r="AS84" s="177" t="s">
        <v>123</v>
      </c>
      <c r="AT84" s="180" t="s">
        <v>109</v>
      </c>
      <c r="AU84" s="177" t="s">
        <v>124</v>
      </c>
      <c r="AV84" s="177" t="s">
        <v>109</v>
      </c>
      <c r="AW84" s="177" t="s">
        <v>195</v>
      </c>
      <c r="AX84" s="177" t="s">
        <v>109</v>
      </c>
      <c r="AY84" s="177" t="s">
        <v>135</v>
      </c>
      <c r="AZ84" s="177" t="s">
        <v>109</v>
      </c>
      <c r="BA84" s="177" t="s">
        <v>218</v>
      </c>
      <c r="BB84" s="177" t="s">
        <v>109</v>
      </c>
      <c r="BC84" s="177" t="s">
        <v>425</v>
      </c>
      <c r="BD84" s="177" t="s">
        <v>109</v>
      </c>
      <c r="BE84" s="181" t="s">
        <v>759</v>
      </c>
      <c r="BF84" s="180" t="s">
        <v>227</v>
      </c>
      <c r="BG84" s="180" t="s">
        <v>227</v>
      </c>
      <c r="BH84" s="177" t="s">
        <v>109</v>
      </c>
      <c r="BI84" s="177" t="s">
        <v>109</v>
      </c>
      <c r="BJ84" s="177" t="b">
        <v>1</v>
      </c>
      <c r="BK84" s="233">
        <v>1585.0195000000001</v>
      </c>
      <c r="BL84" s="234" t="s">
        <v>128</v>
      </c>
      <c r="BM84" s="236">
        <v>2477.3088002241998</v>
      </c>
      <c r="BN84" s="236">
        <v>0</v>
      </c>
      <c r="BO84" s="236">
        <v>0</v>
      </c>
      <c r="BP84" s="236">
        <v>0</v>
      </c>
      <c r="BQ84" s="236">
        <v>0</v>
      </c>
      <c r="BR84" s="236">
        <v>1448.4177500000001</v>
      </c>
      <c r="BS84" s="236">
        <v>185.26863</v>
      </c>
      <c r="BT84" s="236">
        <v>843.62242019999997</v>
      </c>
      <c r="BU84" s="236">
        <v>0</v>
      </c>
      <c r="BV84" s="236">
        <v>0</v>
      </c>
      <c r="BW84" s="236">
        <v>0</v>
      </c>
      <c r="BX84" s="236">
        <v>0</v>
      </c>
      <c r="BY84" s="234">
        <v>1634</v>
      </c>
      <c r="BZ84" s="236" t="s">
        <v>109</v>
      </c>
      <c r="CA84" s="236" t="s">
        <v>109</v>
      </c>
      <c r="CB84" s="236">
        <v>2025</v>
      </c>
      <c r="CC84" s="236">
        <v>0</v>
      </c>
      <c r="CD84" s="236">
        <v>0</v>
      </c>
      <c r="CE84" s="236">
        <v>0</v>
      </c>
      <c r="CF84" s="236">
        <v>0</v>
      </c>
      <c r="CG84" s="236">
        <v>0</v>
      </c>
      <c r="CH84" s="236">
        <v>0</v>
      </c>
      <c r="CI84" s="236">
        <v>2477.3088002</v>
      </c>
      <c r="CJ84" s="177" t="s">
        <v>128</v>
      </c>
      <c r="CK84" s="177" t="s">
        <v>128</v>
      </c>
      <c r="CL84" s="177" t="s">
        <v>128</v>
      </c>
      <c r="CM84" s="155" t="s">
        <v>109</v>
      </c>
      <c r="CN84" s="229">
        <v>0</v>
      </c>
      <c r="CO84" s="229">
        <v>0</v>
      </c>
      <c r="CP84" t="s">
        <v>480</v>
      </c>
      <c r="CR84" s="248"/>
    </row>
    <row r="85" spans="1:96" ht="14.4" x14ac:dyDescent="0.3">
      <c r="A85">
        <v>82</v>
      </c>
      <c r="B85" s="173" t="s">
        <v>760</v>
      </c>
      <c r="C85" s="259"/>
      <c r="D85" s="260"/>
      <c r="E85" t="s">
        <v>761</v>
      </c>
      <c r="F85" t="s">
        <v>762</v>
      </c>
      <c r="G85" s="177" t="s">
        <v>661</v>
      </c>
      <c r="H85" s="177" t="s">
        <v>146</v>
      </c>
      <c r="I85" s="177" t="s">
        <v>113</v>
      </c>
      <c r="J85" s="177" t="s">
        <v>109</v>
      </c>
      <c r="K85" s="177" t="s">
        <v>662</v>
      </c>
      <c r="L85" s="177" t="s">
        <v>663</v>
      </c>
      <c r="M85" s="177" t="s">
        <v>505</v>
      </c>
      <c r="N85" s="177" t="s">
        <v>109</v>
      </c>
      <c r="O85" s="180">
        <v>45669</v>
      </c>
      <c r="P85" s="177" t="s">
        <v>763</v>
      </c>
      <c r="Q85" s="177" t="s">
        <v>508</v>
      </c>
      <c r="R85" s="177" t="s">
        <v>509</v>
      </c>
      <c r="S85" s="177" t="s">
        <v>109</v>
      </c>
      <c r="T85" s="177" t="s">
        <v>404</v>
      </c>
      <c r="U85" s="177" t="s">
        <v>117</v>
      </c>
      <c r="V85" s="177" t="b">
        <v>0</v>
      </c>
      <c r="W85" s="177" t="s">
        <v>109</v>
      </c>
      <c r="X85" s="261"/>
      <c r="Y85" s="177">
        <v>5.3506109999999998</v>
      </c>
      <c r="Z85" s="177" t="s">
        <v>118</v>
      </c>
      <c r="AA85" s="177">
        <v>69</v>
      </c>
      <c r="AB85" s="177" t="s">
        <v>109</v>
      </c>
      <c r="AC85" s="177">
        <v>1.2</v>
      </c>
      <c r="AD85" s="177" t="s">
        <v>764</v>
      </c>
      <c r="AE85" s="177" t="s">
        <v>765</v>
      </c>
      <c r="AF85" s="177">
        <v>1</v>
      </c>
      <c r="AG85" s="177">
        <v>10143</v>
      </c>
      <c r="AH85" s="177" t="s">
        <v>121</v>
      </c>
      <c r="AI85" s="177" t="b">
        <v>0</v>
      </c>
      <c r="AJ85" s="180" t="s">
        <v>109</v>
      </c>
      <c r="AK85" s="177" t="s">
        <v>122</v>
      </c>
      <c r="AL85" s="177">
        <v>2012</v>
      </c>
      <c r="AM85" s="177">
        <v>2014</v>
      </c>
      <c r="AN85" s="177" t="b">
        <v>0</v>
      </c>
      <c r="AO85" s="177">
        <v>2014</v>
      </c>
      <c r="AP85" s="177" t="s">
        <v>109</v>
      </c>
      <c r="AQ85" s="177" t="s">
        <v>766</v>
      </c>
      <c r="AR85" s="177" t="b">
        <v>0</v>
      </c>
      <c r="AS85" s="177" t="s">
        <v>109</v>
      </c>
      <c r="AT85" s="180" t="s">
        <v>118</v>
      </c>
      <c r="AU85" s="177" t="s">
        <v>124</v>
      </c>
      <c r="AV85" s="177" t="s">
        <v>109</v>
      </c>
      <c r="AW85" s="177" t="s">
        <v>226</v>
      </c>
      <c r="AX85" s="177" t="s">
        <v>767</v>
      </c>
      <c r="AY85" s="177" t="s">
        <v>492</v>
      </c>
      <c r="AZ85" s="177" t="s">
        <v>768</v>
      </c>
      <c r="BA85" s="177" t="s">
        <v>218</v>
      </c>
      <c r="BB85" s="177">
        <v>2027</v>
      </c>
      <c r="BC85" s="177" t="s">
        <v>425</v>
      </c>
      <c r="BD85" s="177" t="s">
        <v>109</v>
      </c>
      <c r="BE85" s="180" t="s">
        <v>769</v>
      </c>
      <c r="BF85" s="180" t="s">
        <v>712</v>
      </c>
      <c r="BG85" s="180" t="s">
        <v>770</v>
      </c>
      <c r="BH85" s="177" t="s">
        <v>326</v>
      </c>
      <c r="BI85" s="177" t="s">
        <v>699</v>
      </c>
      <c r="BJ85" s="177" t="b">
        <v>0</v>
      </c>
      <c r="BK85" s="233">
        <v>142840.72513000001</v>
      </c>
      <c r="BL85" s="234" t="s">
        <v>128</v>
      </c>
      <c r="BM85" s="254">
        <v>47563.271000000001</v>
      </c>
      <c r="BN85" s="254">
        <v>1457.2392119000003</v>
      </c>
      <c r="BO85" s="254">
        <v>1383.3475613999999</v>
      </c>
      <c r="BP85" s="254">
        <v>1527.0309009999999</v>
      </c>
      <c r="BQ85" s="254">
        <v>1676.1514316</v>
      </c>
      <c r="BR85" s="254">
        <v>1964.336006</v>
      </c>
      <c r="BS85" s="254">
        <v>541.19864199999995</v>
      </c>
      <c r="BT85" s="254">
        <v>2003.0787551999999</v>
      </c>
      <c r="BU85" s="254">
        <v>2683.5756874000003</v>
      </c>
      <c r="BV85" s="254">
        <v>7045.8930172</v>
      </c>
      <c r="BW85" s="254">
        <v>19984.6048142</v>
      </c>
      <c r="BX85" s="254">
        <v>2959.5580648000005</v>
      </c>
      <c r="BY85" s="255">
        <v>12886.56</v>
      </c>
      <c r="BZ85" s="236" t="s">
        <v>109</v>
      </c>
      <c r="CA85" s="236" t="s">
        <v>109</v>
      </c>
      <c r="CB85" s="258">
        <v>2020</v>
      </c>
      <c r="CC85" s="254">
        <v>1.6438888999999999</v>
      </c>
      <c r="CD85" s="254">
        <v>0</v>
      </c>
      <c r="CE85" s="254">
        <v>0</v>
      </c>
      <c r="CF85" s="254">
        <v>0</v>
      </c>
      <c r="CG85" s="254">
        <v>0</v>
      </c>
      <c r="CH85" s="254">
        <v>0</v>
      </c>
      <c r="CI85" s="254">
        <v>0</v>
      </c>
      <c r="CJ85" s="237">
        <v>0</v>
      </c>
      <c r="CK85" s="177" t="s">
        <v>128</v>
      </c>
      <c r="CL85" s="177">
        <v>4.2</v>
      </c>
      <c r="CM85" s="155" t="s">
        <v>109</v>
      </c>
      <c r="CN85" s="229">
        <v>0</v>
      </c>
      <c r="CO85" s="229">
        <v>1</v>
      </c>
      <c r="CP85" t="s">
        <v>771</v>
      </c>
      <c r="CR85" s="248"/>
    </row>
    <row r="86" spans="1:96" ht="14.4" x14ac:dyDescent="0.3">
      <c r="A86">
        <v>83</v>
      </c>
      <c r="B86" s="173" t="s">
        <v>772</v>
      </c>
      <c r="C86" s="259"/>
      <c r="D86" s="260"/>
      <c r="E86" t="s">
        <v>773</v>
      </c>
      <c r="F86" t="s">
        <v>774</v>
      </c>
      <c r="G86" s="177" t="s">
        <v>661</v>
      </c>
      <c r="H86" s="177" t="s">
        <v>146</v>
      </c>
      <c r="I86" s="177" t="s">
        <v>109</v>
      </c>
      <c r="J86" s="177" t="s">
        <v>109</v>
      </c>
      <c r="K86" s="177" t="s">
        <v>662</v>
      </c>
      <c r="L86" s="177" t="s">
        <v>663</v>
      </c>
      <c r="M86" s="177" t="s">
        <v>109</v>
      </c>
      <c r="N86" s="177" t="s">
        <v>109</v>
      </c>
      <c r="O86" s="180">
        <v>45669</v>
      </c>
      <c r="P86" s="177" t="s">
        <v>775</v>
      </c>
      <c r="Q86" s="177" t="s">
        <v>109</v>
      </c>
      <c r="R86" s="177" t="s">
        <v>109</v>
      </c>
      <c r="S86" s="177" t="s">
        <v>109</v>
      </c>
      <c r="T86" s="177" t="s">
        <v>404</v>
      </c>
      <c r="U86" s="177" t="s">
        <v>117</v>
      </c>
      <c r="V86" s="177" t="b">
        <v>0</v>
      </c>
      <c r="W86" s="177" t="s">
        <v>109</v>
      </c>
      <c r="X86" s="261"/>
      <c r="Y86" s="177">
        <v>11.548520999999999</v>
      </c>
      <c r="Z86" s="177" t="s">
        <v>118</v>
      </c>
      <c r="AA86" s="177">
        <v>69</v>
      </c>
      <c r="AB86" s="177" t="s">
        <v>109</v>
      </c>
      <c r="AC86" s="177">
        <v>1.2</v>
      </c>
      <c r="AD86" s="177" t="s">
        <v>776</v>
      </c>
      <c r="AE86" s="177" t="s">
        <v>777</v>
      </c>
      <c r="AF86" s="177">
        <v>1</v>
      </c>
      <c r="AG86" s="177">
        <v>10144</v>
      </c>
      <c r="AH86" s="177" t="s">
        <v>121</v>
      </c>
      <c r="AI86" s="177" t="b">
        <v>1</v>
      </c>
      <c r="AJ86" s="180">
        <v>44914</v>
      </c>
      <c r="AK86" s="177" t="s">
        <v>122</v>
      </c>
      <c r="AL86" s="177">
        <v>2012</v>
      </c>
      <c r="AM86" s="177" t="s">
        <v>118</v>
      </c>
      <c r="AN86" s="177" t="b">
        <v>0</v>
      </c>
      <c r="AO86" s="177" t="s">
        <v>118</v>
      </c>
      <c r="AP86" s="177" t="s">
        <v>118</v>
      </c>
      <c r="AQ86" s="177" t="s">
        <v>118</v>
      </c>
      <c r="AR86" s="177" t="b">
        <v>0</v>
      </c>
      <c r="AS86" s="177" t="s">
        <v>109</v>
      </c>
      <c r="AT86" s="180">
        <v>43770</v>
      </c>
      <c r="AU86" s="177" t="s">
        <v>124</v>
      </c>
      <c r="AV86" s="177" t="s">
        <v>539</v>
      </c>
      <c r="AW86" s="177" t="s">
        <v>226</v>
      </c>
      <c r="AX86" s="177" t="s">
        <v>767</v>
      </c>
      <c r="AY86" s="177" t="s">
        <v>135</v>
      </c>
      <c r="AZ86" s="177" t="s">
        <v>778</v>
      </c>
      <c r="BA86" s="177" t="s">
        <v>494</v>
      </c>
      <c r="BB86" s="177">
        <v>2021</v>
      </c>
      <c r="BC86" s="177" t="s">
        <v>126</v>
      </c>
      <c r="BD86" s="177" t="s">
        <v>109</v>
      </c>
      <c r="BE86" s="180" t="s">
        <v>779</v>
      </c>
      <c r="BF86" s="180" t="s">
        <v>780</v>
      </c>
      <c r="BG86" s="180" t="s">
        <v>385</v>
      </c>
      <c r="BH86" s="177" t="s">
        <v>109</v>
      </c>
      <c r="BI86" s="177" t="s">
        <v>109</v>
      </c>
      <c r="BJ86" s="177" t="b">
        <v>1</v>
      </c>
      <c r="BK86" s="233">
        <v>43446.39518</v>
      </c>
      <c r="BL86" s="234" t="s">
        <v>128</v>
      </c>
      <c r="BM86" s="254">
        <v>47007.919000000002</v>
      </c>
      <c r="BN86" s="254">
        <v>1512.4206194999999</v>
      </c>
      <c r="BO86" s="254">
        <v>3971.7359799000001</v>
      </c>
      <c r="BP86" s="254">
        <v>2405.8417478000001</v>
      </c>
      <c r="BQ86" s="254">
        <v>28254.116231000004</v>
      </c>
      <c r="BR86" s="254">
        <v>6952.0503279999994</v>
      </c>
      <c r="BS86" s="254">
        <v>102.39465600000001</v>
      </c>
      <c r="BT86" s="254">
        <v>296.23749659999999</v>
      </c>
      <c r="BU86" s="254">
        <v>0</v>
      </c>
      <c r="BV86" s="254">
        <v>0</v>
      </c>
      <c r="BW86" s="254">
        <v>0</v>
      </c>
      <c r="BX86" s="254">
        <v>0</v>
      </c>
      <c r="BY86" s="255">
        <v>0</v>
      </c>
      <c r="BZ86" s="236" t="s">
        <v>109</v>
      </c>
      <c r="CA86" s="236" t="s">
        <v>109</v>
      </c>
      <c r="CB86" s="236" t="s">
        <v>196</v>
      </c>
      <c r="CC86" s="254">
        <v>0</v>
      </c>
      <c r="CD86" s="254">
        <v>0</v>
      </c>
      <c r="CE86" s="254">
        <v>0</v>
      </c>
      <c r="CF86" s="254">
        <v>0</v>
      </c>
      <c r="CG86" s="254">
        <v>46609.287035000001</v>
      </c>
      <c r="CH86" s="254">
        <v>102.39465600000001</v>
      </c>
      <c r="CI86" s="254">
        <v>296.23749659999999</v>
      </c>
      <c r="CJ86" s="237">
        <v>0</v>
      </c>
      <c r="CK86" s="177" t="s">
        <v>128</v>
      </c>
      <c r="CL86" s="177">
        <v>22.5</v>
      </c>
      <c r="CM86" s="155" t="s">
        <v>109</v>
      </c>
      <c r="CN86" s="229">
        <v>0</v>
      </c>
      <c r="CO86" s="229">
        <v>1</v>
      </c>
      <c r="CP86" t="s">
        <v>155</v>
      </c>
      <c r="CR86" s="248"/>
    </row>
    <row r="87" spans="1:96" ht="14.4" x14ac:dyDescent="0.3">
      <c r="A87">
        <v>84</v>
      </c>
      <c r="B87" s="173" t="s">
        <v>781</v>
      </c>
      <c r="C87" s="259"/>
      <c r="D87" s="260"/>
      <c r="E87" t="s">
        <v>761</v>
      </c>
      <c r="F87" t="s">
        <v>782</v>
      </c>
      <c r="G87" s="177" t="s">
        <v>661</v>
      </c>
      <c r="H87" s="177" t="s">
        <v>146</v>
      </c>
      <c r="I87" s="177" t="s">
        <v>109</v>
      </c>
      <c r="J87" s="177" t="s">
        <v>109</v>
      </c>
      <c r="K87" s="177" t="s">
        <v>662</v>
      </c>
      <c r="L87" s="177" t="s">
        <v>663</v>
      </c>
      <c r="M87" s="177" t="s">
        <v>109</v>
      </c>
      <c r="N87" s="177" t="s">
        <v>109</v>
      </c>
      <c r="O87" s="180">
        <v>45669</v>
      </c>
      <c r="P87" s="177" t="s">
        <v>783</v>
      </c>
      <c r="Q87" s="177" t="s">
        <v>109</v>
      </c>
      <c r="R87" s="177" t="s">
        <v>109</v>
      </c>
      <c r="S87" s="177" t="s">
        <v>109</v>
      </c>
      <c r="T87" s="177" t="s">
        <v>404</v>
      </c>
      <c r="U87" s="177" t="s">
        <v>117</v>
      </c>
      <c r="V87" s="177" t="b">
        <v>0</v>
      </c>
      <c r="W87" s="177" t="s">
        <v>109</v>
      </c>
      <c r="X87" s="261"/>
      <c r="Y87" s="177">
        <v>6.6533340000000001</v>
      </c>
      <c r="Z87" s="177" t="s">
        <v>118</v>
      </c>
      <c r="AA87" s="177">
        <v>69</v>
      </c>
      <c r="AB87" s="177" t="s">
        <v>109</v>
      </c>
      <c r="AC87" s="177">
        <v>1.2</v>
      </c>
      <c r="AD87" s="177" t="s">
        <v>784</v>
      </c>
      <c r="AE87" s="177" t="s">
        <v>785</v>
      </c>
      <c r="AF87" s="177">
        <v>1</v>
      </c>
      <c r="AG87" s="177">
        <v>10145</v>
      </c>
      <c r="AH87" s="177" t="s">
        <v>121</v>
      </c>
      <c r="AI87" s="177" t="b">
        <v>1</v>
      </c>
      <c r="AJ87" s="180">
        <v>43880</v>
      </c>
      <c r="AK87" s="177" t="s">
        <v>122</v>
      </c>
      <c r="AL87" s="177">
        <v>2012</v>
      </c>
      <c r="AM87" s="177">
        <v>2014</v>
      </c>
      <c r="AN87" s="177" t="b">
        <v>0</v>
      </c>
      <c r="AO87" s="177" t="s">
        <v>109</v>
      </c>
      <c r="AP87" s="177" t="s">
        <v>109</v>
      </c>
      <c r="AQ87" s="177" t="s">
        <v>118</v>
      </c>
      <c r="AR87" s="177" t="b">
        <v>0</v>
      </c>
      <c r="AS87" s="177" t="s">
        <v>109</v>
      </c>
      <c r="AT87" s="180">
        <v>43665</v>
      </c>
      <c r="AU87" s="177" t="s">
        <v>124</v>
      </c>
      <c r="AV87" s="177" t="s">
        <v>539</v>
      </c>
      <c r="AW87" s="177" t="s">
        <v>226</v>
      </c>
      <c r="AX87" s="177" t="s">
        <v>767</v>
      </c>
      <c r="AY87" s="177" t="s">
        <v>135</v>
      </c>
      <c r="AZ87" s="177" t="s">
        <v>109</v>
      </c>
      <c r="BA87" s="177" t="s">
        <v>494</v>
      </c>
      <c r="BB87" s="177">
        <v>2021</v>
      </c>
      <c r="BC87" s="177" t="s">
        <v>126</v>
      </c>
      <c r="BD87" s="177" t="s">
        <v>109</v>
      </c>
      <c r="BE87" s="180" t="s">
        <v>786</v>
      </c>
      <c r="BF87" s="180" t="s">
        <v>787</v>
      </c>
      <c r="BG87" s="180" t="s">
        <v>787</v>
      </c>
      <c r="BH87" s="177" t="s">
        <v>109</v>
      </c>
      <c r="BI87" s="177" t="s">
        <v>109</v>
      </c>
      <c r="BJ87" s="177" t="b">
        <v>0</v>
      </c>
      <c r="BK87" s="233">
        <v>24755.77059</v>
      </c>
      <c r="BL87" s="234" t="s">
        <v>128</v>
      </c>
      <c r="BM87" s="233">
        <v>17773.458458205001</v>
      </c>
      <c r="BN87" s="233">
        <v>3157.6478683</v>
      </c>
      <c r="BO87" s="233">
        <v>11158.129074799999</v>
      </c>
      <c r="BP87" s="233">
        <v>1335.8176983000001</v>
      </c>
      <c r="BQ87" s="233">
        <v>43.521673399999997</v>
      </c>
      <c r="BR87" s="233">
        <v>3.2177739999999999</v>
      </c>
      <c r="BS87" s="233">
        <v>0</v>
      </c>
      <c r="BT87" s="233">
        <v>0</v>
      </c>
      <c r="BU87" s="233">
        <v>0</v>
      </c>
      <c r="BV87" s="233">
        <v>0</v>
      </c>
      <c r="BW87" s="233">
        <v>0</v>
      </c>
      <c r="BX87" s="233">
        <v>0</v>
      </c>
      <c r="BY87" s="234">
        <v>0</v>
      </c>
      <c r="BZ87" s="236" t="s">
        <v>109</v>
      </c>
      <c r="CA87" s="236" t="s">
        <v>109</v>
      </c>
      <c r="CB87" s="236" t="s">
        <v>460</v>
      </c>
      <c r="CC87" s="233">
        <v>0</v>
      </c>
      <c r="CD87" s="233">
        <v>16390.901312499998</v>
      </c>
      <c r="CE87" s="233">
        <v>1335.8176983000001</v>
      </c>
      <c r="CF87" s="233">
        <v>43.521673399999997</v>
      </c>
      <c r="CG87" s="233">
        <v>3.2177739999999999</v>
      </c>
      <c r="CH87" s="233">
        <v>0</v>
      </c>
      <c r="CI87" s="233">
        <v>0</v>
      </c>
      <c r="CJ87" s="237">
        <v>0</v>
      </c>
      <c r="CK87" s="177" t="s">
        <v>128</v>
      </c>
      <c r="CL87" s="177" t="s">
        <v>128</v>
      </c>
      <c r="CM87" s="155" t="s">
        <v>109</v>
      </c>
      <c r="CN87" s="229">
        <v>0</v>
      </c>
      <c r="CO87" s="229">
        <v>1</v>
      </c>
      <c r="CP87" t="s">
        <v>155</v>
      </c>
      <c r="CR87" s="248"/>
    </row>
    <row r="88" spans="1:96" ht="14.4" x14ac:dyDescent="0.3">
      <c r="A88">
        <v>85</v>
      </c>
      <c r="B88" s="173" t="s">
        <v>788</v>
      </c>
      <c r="C88" s="259"/>
      <c r="D88" s="260"/>
      <c r="E88" t="s">
        <v>789</v>
      </c>
      <c r="F88" t="s">
        <v>790</v>
      </c>
      <c r="G88" s="177" t="s">
        <v>661</v>
      </c>
      <c r="H88" s="177" t="s">
        <v>146</v>
      </c>
      <c r="I88" s="177" t="s">
        <v>112</v>
      </c>
      <c r="J88" s="177" t="s">
        <v>109</v>
      </c>
      <c r="K88" s="177" t="s">
        <v>662</v>
      </c>
      <c r="L88" s="177" t="s">
        <v>663</v>
      </c>
      <c r="M88" s="177" t="s">
        <v>505</v>
      </c>
      <c r="N88" s="177" t="s">
        <v>109</v>
      </c>
      <c r="O88" s="180" t="s">
        <v>791</v>
      </c>
      <c r="P88" s="177" t="s">
        <v>792</v>
      </c>
      <c r="Q88" s="177" t="s">
        <v>508</v>
      </c>
      <c r="R88" s="177" t="s">
        <v>509</v>
      </c>
      <c r="S88" s="177" t="s">
        <v>109</v>
      </c>
      <c r="T88" s="177" t="s">
        <v>404</v>
      </c>
      <c r="U88" s="177" t="s">
        <v>117</v>
      </c>
      <c r="V88" s="177" t="b">
        <v>0</v>
      </c>
      <c r="W88" s="177" t="s">
        <v>109</v>
      </c>
      <c r="X88" s="261"/>
      <c r="Y88" s="177">
        <v>7.8007609999999996</v>
      </c>
      <c r="Z88" s="177" t="s">
        <v>118</v>
      </c>
      <c r="AA88" s="177">
        <v>69</v>
      </c>
      <c r="AB88" s="177" t="s">
        <v>109</v>
      </c>
      <c r="AC88" s="177">
        <v>1.2</v>
      </c>
      <c r="AD88" s="177" t="s">
        <v>793</v>
      </c>
      <c r="AE88" s="177" t="s">
        <v>794</v>
      </c>
      <c r="AF88" s="177">
        <v>1</v>
      </c>
      <c r="AG88" s="177">
        <v>10146</v>
      </c>
      <c r="AH88" s="177" t="s">
        <v>121</v>
      </c>
      <c r="AI88" s="177" t="b">
        <v>0</v>
      </c>
      <c r="AJ88" s="180" t="s">
        <v>109</v>
      </c>
      <c r="AK88" s="177" t="s">
        <v>122</v>
      </c>
      <c r="AL88" s="177">
        <v>2012</v>
      </c>
      <c r="AM88" s="177">
        <v>2012</v>
      </c>
      <c r="AN88" s="177" t="b">
        <v>0</v>
      </c>
      <c r="AO88" s="177">
        <v>2012</v>
      </c>
      <c r="AP88" s="177" t="s">
        <v>109</v>
      </c>
      <c r="AQ88" s="177" t="s">
        <v>795</v>
      </c>
      <c r="AR88" s="177" t="b">
        <v>0</v>
      </c>
      <c r="AS88" s="177" t="s">
        <v>796</v>
      </c>
      <c r="AT88" s="180">
        <v>42923</v>
      </c>
      <c r="AU88" s="177" t="s">
        <v>491</v>
      </c>
      <c r="AV88" s="177" t="s">
        <v>216</v>
      </c>
      <c r="AW88" s="177" t="s">
        <v>226</v>
      </c>
      <c r="AX88" s="177" t="s">
        <v>767</v>
      </c>
      <c r="AY88" s="177" t="s">
        <v>492</v>
      </c>
      <c r="AZ88" s="177" t="s">
        <v>797</v>
      </c>
      <c r="BA88" s="177" t="s">
        <v>494</v>
      </c>
      <c r="BB88" s="177">
        <v>2018</v>
      </c>
      <c r="BC88" s="177" t="s">
        <v>699</v>
      </c>
      <c r="BD88" s="177" t="s">
        <v>109</v>
      </c>
      <c r="BE88" s="180" t="s">
        <v>798</v>
      </c>
      <c r="BF88" s="180" t="s">
        <v>109</v>
      </c>
      <c r="BG88" s="180" t="s">
        <v>799</v>
      </c>
      <c r="BH88" s="177" t="s">
        <v>326</v>
      </c>
      <c r="BI88" s="177" t="s">
        <v>699</v>
      </c>
      <c r="BJ88" s="177" t="b">
        <v>0</v>
      </c>
      <c r="BK88" s="233">
        <v>44272.579160000001</v>
      </c>
      <c r="BL88" s="234" t="s">
        <v>128</v>
      </c>
      <c r="BM88" s="254">
        <v>60708.588000000003</v>
      </c>
      <c r="BN88" s="254">
        <v>1351.8216938</v>
      </c>
      <c r="BO88" s="254">
        <v>2875.0482661999999</v>
      </c>
      <c r="BP88" s="254">
        <v>2320.4082724999998</v>
      </c>
      <c r="BQ88" s="254">
        <v>1770.8853697000002</v>
      </c>
      <c r="BR88" s="254">
        <v>1940.2170179999998</v>
      </c>
      <c r="BS88" s="254">
        <v>504.75203000000005</v>
      </c>
      <c r="BT88" s="254">
        <v>1684.7044559000001</v>
      </c>
      <c r="BU88" s="254">
        <v>12336.129132800002</v>
      </c>
      <c r="BV88" s="254">
        <v>25212.024455999999</v>
      </c>
      <c r="BW88" s="254">
        <v>4752.4375014000007</v>
      </c>
      <c r="BX88" s="254">
        <v>0</v>
      </c>
      <c r="BY88" s="255">
        <v>16591.008000000002</v>
      </c>
      <c r="BZ88" s="236" t="s">
        <v>109</v>
      </c>
      <c r="CA88" s="236" t="s">
        <v>109</v>
      </c>
      <c r="CB88" s="258">
        <v>2023</v>
      </c>
      <c r="CC88" s="254">
        <v>0</v>
      </c>
      <c r="CD88" s="254">
        <v>0</v>
      </c>
      <c r="CE88" s="254">
        <v>0</v>
      </c>
      <c r="CF88" s="254">
        <v>132.28380999999999</v>
      </c>
      <c r="CG88" s="254">
        <v>0</v>
      </c>
      <c r="CH88" s="254">
        <v>0</v>
      </c>
      <c r="CI88" s="254">
        <v>0</v>
      </c>
      <c r="CJ88" s="237">
        <v>0</v>
      </c>
      <c r="CK88" s="177" t="s">
        <v>128</v>
      </c>
      <c r="CL88" s="177">
        <v>1.4</v>
      </c>
      <c r="CM88" s="155" t="s">
        <v>109</v>
      </c>
      <c r="CN88" s="229">
        <v>0</v>
      </c>
      <c r="CO88" s="229">
        <v>1</v>
      </c>
      <c r="CP88" t="s">
        <v>155</v>
      </c>
      <c r="CR88" s="248"/>
    </row>
    <row r="89" spans="1:96" ht="14.4" x14ac:dyDescent="0.3">
      <c r="A89">
        <v>86</v>
      </c>
      <c r="B89" s="173" t="s">
        <v>800</v>
      </c>
      <c r="C89" s="259"/>
      <c r="D89" s="260"/>
      <c r="E89" t="s">
        <v>801</v>
      </c>
      <c r="F89" t="s">
        <v>802</v>
      </c>
      <c r="G89" s="177" t="s">
        <v>661</v>
      </c>
      <c r="H89" s="177" t="s">
        <v>146</v>
      </c>
      <c r="I89" s="177" t="s">
        <v>113</v>
      </c>
      <c r="J89" s="177" t="s">
        <v>109</v>
      </c>
      <c r="K89" s="177" t="s">
        <v>662</v>
      </c>
      <c r="L89" s="177" t="s">
        <v>663</v>
      </c>
      <c r="M89" s="177" t="s">
        <v>109</v>
      </c>
      <c r="N89" s="177" t="s">
        <v>109</v>
      </c>
      <c r="O89" s="180">
        <v>45669</v>
      </c>
      <c r="P89" s="177" t="s">
        <v>803</v>
      </c>
      <c r="Q89" s="177" t="s">
        <v>109</v>
      </c>
      <c r="R89" s="177" t="s">
        <v>109</v>
      </c>
      <c r="S89" s="177" t="s">
        <v>109</v>
      </c>
      <c r="T89" s="177" t="s">
        <v>404</v>
      </c>
      <c r="U89" s="177" t="s">
        <v>117</v>
      </c>
      <c r="V89" s="177" t="b">
        <v>0</v>
      </c>
      <c r="W89" s="177" t="s">
        <v>109</v>
      </c>
      <c r="X89" s="261"/>
      <c r="Y89" s="177">
        <v>7.5057679999999998</v>
      </c>
      <c r="Z89" s="177" t="s">
        <v>118</v>
      </c>
      <c r="AA89" s="177">
        <v>69</v>
      </c>
      <c r="AB89" s="177" t="s">
        <v>109</v>
      </c>
      <c r="AC89" s="177">
        <v>1.2</v>
      </c>
      <c r="AD89" s="177" t="s">
        <v>804</v>
      </c>
      <c r="AE89" s="177" t="s">
        <v>805</v>
      </c>
      <c r="AF89" s="177">
        <v>1</v>
      </c>
      <c r="AG89" s="177">
        <v>10149</v>
      </c>
      <c r="AH89" s="177" t="s">
        <v>121</v>
      </c>
      <c r="AI89" s="177" t="b">
        <v>1</v>
      </c>
      <c r="AJ89" s="180">
        <v>43672</v>
      </c>
      <c r="AK89" s="177" t="s">
        <v>122</v>
      </c>
      <c r="AL89" s="177">
        <v>2012</v>
      </c>
      <c r="AM89" s="177" t="s">
        <v>109</v>
      </c>
      <c r="AN89" s="177" t="b">
        <v>0</v>
      </c>
      <c r="AO89" s="177" t="s">
        <v>109</v>
      </c>
      <c r="AP89" s="177" t="s">
        <v>109</v>
      </c>
      <c r="AQ89" s="177" t="s">
        <v>118</v>
      </c>
      <c r="AR89" s="177" t="b">
        <v>0</v>
      </c>
      <c r="AS89" s="177" t="s">
        <v>109</v>
      </c>
      <c r="AT89" s="180">
        <v>43070</v>
      </c>
      <c r="AU89" s="177" t="s">
        <v>124</v>
      </c>
      <c r="AV89" s="177" t="s">
        <v>539</v>
      </c>
      <c r="AW89" s="177" t="s">
        <v>226</v>
      </c>
      <c r="AX89" s="177" t="s">
        <v>767</v>
      </c>
      <c r="AY89" s="177" t="s">
        <v>135</v>
      </c>
      <c r="AZ89" s="177" t="s">
        <v>109</v>
      </c>
      <c r="BA89" s="177" t="s">
        <v>494</v>
      </c>
      <c r="BB89" s="177">
        <v>2019</v>
      </c>
      <c r="BC89" s="177" t="s">
        <v>126</v>
      </c>
      <c r="BD89" s="177" t="s">
        <v>109</v>
      </c>
      <c r="BE89" s="180" t="s">
        <v>562</v>
      </c>
      <c r="BF89" s="180" t="s">
        <v>806</v>
      </c>
      <c r="BG89" s="180" t="s">
        <v>806</v>
      </c>
      <c r="BH89" s="177" t="s">
        <v>109</v>
      </c>
      <c r="BI89" s="177" t="s">
        <v>109</v>
      </c>
      <c r="BJ89" s="177" t="b">
        <v>0</v>
      </c>
      <c r="BK89" s="233">
        <v>23135.859570000001</v>
      </c>
      <c r="BL89" s="234" t="s">
        <v>128</v>
      </c>
      <c r="BM89" s="233">
        <v>14668.972194897</v>
      </c>
      <c r="BN89" s="233">
        <v>7797.6452356999998</v>
      </c>
      <c r="BO89" s="233">
        <v>1252.6430322000001</v>
      </c>
      <c r="BP89" s="233">
        <v>-375.18832120000002</v>
      </c>
      <c r="BQ89" s="233">
        <v>98.009155100000001</v>
      </c>
      <c r="BR89" s="233">
        <v>0</v>
      </c>
      <c r="BS89" s="233">
        <v>0</v>
      </c>
      <c r="BT89" s="233">
        <v>0</v>
      </c>
      <c r="BU89" s="233">
        <v>0</v>
      </c>
      <c r="BV89" s="233">
        <v>0</v>
      </c>
      <c r="BW89" s="233">
        <v>0</v>
      </c>
      <c r="BX89" s="233">
        <v>0</v>
      </c>
      <c r="BY89" s="234">
        <v>0</v>
      </c>
      <c r="BZ89" s="236" t="s">
        <v>109</v>
      </c>
      <c r="CA89" s="236" t="s">
        <v>109</v>
      </c>
      <c r="CB89" s="236" t="s">
        <v>807</v>
      </c>
      <c r="CC89" s="233">
        <v>13693.508328800001</v>
      </c>
      <c r="CD89" s="233">
        <v>1252.6430322000001</v>
      </c>
      <c r="CE89" s="233">
        <v>-375.18832120000002</v>
      </c>
      <c r="CF89" s="233">
        <v>98.009155100000001</v>
      </c>
      <c r="CG89" s="233">
        <v>0</v>
      </c>
      <c r="CH89" s="233">
        <v>0</v>
      </c>
      <c r="CI89" s="233">
        <v>0</v>
      </c>
      <c r="CJ89" s="237">
        <v>0</v>
      </c>
      <c r="CK89" s="177" t="s">
        <v>128</v>
      </c>
      <c r="CL89" s="177" t="s">
        <v>128</v>
      </c>
      <c r="CM89" s="155" t="s">
        <v>109</v>
      </c>
      <c r="CN89" s="229">
        <v>0</v>
      </c>
      <c r="CO89" s="229">
        <v>1</v>
      </c>
      <c r="CP89" t="s">
        <v>155</v>
      </c>
      <c r="CR89" s="248"/>
    </row>
    <row r="90" spans="1:96" ht="14.4" x14ac:dyDescent="0.3">
      <c r="A90">
        <v>87</v>
      </c>
      <c r="B90" s="173" t="s">
        <v>809</v>
      </c>
      <c r="C90" s="259"/>
      <c r="D90" s="260"/>
      <c r="E90" t="s">
        <v>329</v>
      </c>
      <c r="F90" t="s">
        <v>810</v>
      </c>
      <c r="G90" s="177" t="s">
        <v>811</v>
      </c>
      <c r="H90" s="177" t="s">
        <v>113</v>
      </c>
      <c r="I90" s="177" t="s">
        <v>109</v>
      </c>
      <c r="J90" s="177" t="s">
        <v>109</v>
      </c>
      <c r="K90" s="177" t="s">
        <v>704</v>
      </c>
      <c r="L90" s="177" t="s">
        <v>812</v>
      </c>
      <c r="M90" s="177" t="s">
        <v>505</v>
      </c>
      <c r="N90" s="177" t="s">
        <v>109</v>
      </c>
      <c r="O90" s="180">
        <v>45703</v>
      </c>
      <c r="P90" s="177" t="s">
        <v>813</v>
      </c>
      <c r="Q90" s="177" t="s">
        <v>508</v>
      </c>
      <c r="R90" s="177" t="s">
        <v>509</v>
      </c>
      <c r="S90" s="177" t="s">
        <v>109</v>
      </c>
      <c r="T90" s="177" t="s">
        <v>116</v>
      </c>
      <c r="U90" s="177" t="s">
        <v>117</v>
      </c>
      <c r="V90" s="177" t="b">
        <v>0</v>
      </c>
      <c r="W90" s="177" t="s">
        <v>109</v>
      </c>
      <c r="X90" s="261"/>
      <c r="Y90" s="177">
        <v>6.5901639999999997</v>
      </c>
      <c r="Z90" s="177" t="s">
        <v>118</v>
      </c>
      <c r="AA90" s="177">
        <v>69</v>
      </c>
      <c r="AB90" s="177" t="s">
        <v>109</v>
      </c>
      <c r="AC90" s="177">
        <v>2.1</v>
      </c>
      <c r="AD90" s="177" t="s">
        <v>814</v>
      </c>
      <c r="AE90" s="177" t="s">
        <v>815</v>
      </c>
      <c r="AF90" s="177">
        <v>1</v>
      </c>
      <c r="AG90" s="177">
        <v>11126</v>
      </c>
      <c r="AH90" s="177" t="s">
        <v>121</v>
      </c>
      <c r="AI90" s="177" t="b">
        <v>0</v>
      </c>
      <c r="AJ90" s="180" t="s">
        <v>109</v>
      </c>
      <c r="AK90" s="177" t="s">
        <v>122</v>
      </c>
      <c r="AL90" s="177">
        <v>2012</v>
      </c>
      <c r="AM90" s="177">
        <v>2011</v>
      </c>
      <c r="AN90" s="177" t="b">
        <v>0</v>
      </c>
      <c r="AO90" s="177">
        <v>2011</v>
      </c>
      <c r="AP90" s="177" t="s">
        <v>109</v>
      </c>
      <c r="AQ90" s="177" t="s">
        <v>514</v>
      </c>
      <c r="AR90" s="177" t="b">
        <v>0</v>
      </c>
      <c r="AS90" s="177" t="s">
        <v>123</v>
      </c>
      <c r="AT90" s="180" t="s">
        <v>123</v>
      </c>
      <c r="AU90" s="177" t="s">
        <v>124</v>
      </c>
      <c r="AV90" s="177" t="s">
        <v>109</v>
      </c>
      <c r="AW90" s="177" t="s">
        <v>118</v>
      </c>
      <c r="AX90" s="177" t="s">
        <v>118</v>
      </c>
      <c r="AY90" s="177" t="s">
        <v>666</v>
      </c>
      <c r="AZ90" s="177" t="s">
        <v>816</v>
      </c>
      <c r="BA90" s="177" t="s">
        <v>494</v>
      </c>
      <c r="BB90" s="177">
        <v>2017</v>
      </c>
      <c r="BC90" s="177" t="s">
        <v>126</v>
      </c>
      <c r="BD90" s="177" t="s">
        <v>109</v>
      </c>
      <c r="BE90" s="180" t="s">
        <v>817</v>
      </c>
      <c r="BF90" s="180" t="s">
        <v>712</v>
      </c>
      <c r="BG90" s="180" t="s">
        <v>818</v>
      </c>
      <c r="BH90" s="177" t="s">
        <v>819</v>
      </c>
      <c r="BI90" s="177" t="s">
        <v>699</v>
      </c>
      <c r="BJ90" s="250" t="b">
        <v>1</v>
      </c>
      <c r="BK90" s="233">
        <v>8171.0385100000003</v>
      </c>
      <c r="BL90" s="234" t="s">
        <v>128</v>
      </c>
      <c r="BM90" s="254">
        <v>39939.91224171099</v>
      </c>
      <c r="BN90" s="254">
        <v>2014.7837645999998</v>
      </c>
      <c r="BO90" s="254">
        <v>249.78606099999999</v>
      </c>
      <c r="BP90" s="254">
        <v>550.57434149999995</v>
      </c>
      <c r="BQ90" s="254">
        <v>59.228628399999998</v>
      </c>
      <c r="BR90" s="254">
        <v>39.476939999999999</v>
      </c>
      <c r="BS90" s="254">
        <v>-4.3089999999999996E-2</v>
      </c>
      <c r="BT90" s="254">
        <v>0</v>
      </c>
      <c r="BU90" s="254">
        <v>0</v>
      </c>
      <c r="BV90" s="254">
        <v>0</v>
      </c>
      <c r="BW90" s="254">
        <v>0</v>
      </c>
      <c r="BX90" s="254">
        <v>0</v>
      </c>
      <c r="BY90" s="255">
        <v>0</v>
      </c>
      <c r="BZ90" s="236" t="s">
        <v>109</v>
      </c>
      <c r="CA90" s="236" t="s">
        <v>109</v>
      </c>
      <c r="CB90" s="256" t="s">
        <v>129</v>
      </c>
      <c r="CC90" s="254">
        <v>38073.2629208</v>
      </c>
      <c r="CD90" s="254">
        <v>1177.3095510000001</v>
      </c>
      <c r="CE90" s="254">
        <v>590.67729150000002</v>
      </c>
      <c r="CF90" s="254">
        <v>59.228628399999998</v>
      </c>
      <c r="CG90" s="254">
        <v>39.476939999999999</v>
      </c>
      <c r="CH90" s="254">
        <v>-4.3089999999999996E-2</v>
      </c>
      <c r="CI90" s="254">
        <v>0</v>
      </c>
      <c r="CJ90" s="237">
        <v>0</v>
      </c>
      <c r="CK90" s="177" t="s">
        <v>128</v>
      </c>
      <c r="CL90" s="177" t="s">
        <v>128</v>
      </c>
      <c r="CM90" s="155" t="s">
        <v>109</v>
      </c>
      <c r="CN90" s="229">
        <v>0</v>
      </c>
      <c r="CO90" s="229">
        <v>1</v>
      </c>
      <c r="CP90" t="s">
        <v>155</v>
      </c>
      <c r="CR90" s="248"/>
    </row>
    <row r="91" spans="1:96" ht="14.4" x14ac:dyDescent="0.3">
      <c r="A91">
        <v>88</v>
      </c>
      <c r="B91" s="173" t="s">
        <v>821</v>
      </c>
      <c r="C91" s="259"/>
      <c r="D91" s="260"/>
      <c r="E91" t="s">
        <v>822</v>
      </c>
      <c r="F91" t="s">
        <v>823</v>
      </c>
      <c r="G91" s="177" t="s">
        <v>811</v>
      </c>
      <c r="H91" s="177" t="s">
        <v>113</v>
      </c>
      <c r="I91" s="177" t="s">
        <v>109</v>
      </c>
      <c r="J91" s="177" t="s">
        <v>109</v>
      </c>
      <c r="K91" s="177" t="s">
        <v>192</v>
      </c>
      <c r="L91" s="177" t="s">
        <v>812</v>
      </c>
      <c r="M91" s="177" t="s">
        <v>505</v>
      </c>
      <c r="N91" s="177" t="s">
        <v>109</v>
      </c>
      <c r="O91" s="180">
        <v>45696</v>
      </c>
      <c r="P91" s="177" t="s">
        <v>824</v>
      </c>
      <c r="Q91" s="177" t="s">
        <v>508</v>
      </c>
      <c r="R91" s="177" t="s">
        <v>509</v>
      </c>
      <c r="S91" s="177" t="s">
        <v>109</v>
      </c>
      <c r="T91" s="177" t="s">
        <v>116</v>
      </c>
      <c r="U91" s="177" t="s">
        <v>117</v>
      </c>
      <c r="V91" s="177" t="b">
        <v>0</v>
      </c>
      <c r="W91" s="177" t="s">
        <v>487</v>
      </c>
      <c r="X91" s="261"/>
      <c r="Y91" s="177">
        <v>1</v>
      </c>
      <c r="Z91" s="177" t="s">
        <v>118</v>
      </c>
      <c r="AA91" s="177">
        <v>69</v>
      </c>
      <c r="AB91" s="177" t="s">
        <v>109</v>
      </c>
      <c r="AC91" s="177">
        <v>2.1</v>
      </c>
      <c r="AD91" s="177" t="s">
        <v>825</v>
      </c>
      <c r="AE91" s="177" t="s">
        <v>826</v>
      </c>
      <c r="AF91" s="177">
        <v>1</v>
      </c>
      <c r="AG91" s="177">
        <v>11154</v>
      </c>
      <c r="AH91" s="177" t="s">
        <v>121</v>
      </c>
      <c r="AI91" s="177" t="b">
        <v>0</v>
      </c>
      <c r="AJ91" s="180" t="s">
        <v>109</v>
      </c>
      <c r="AK91" s="177" t="s">
        <v>122</v>
      </c>
      <c r="AL91" s="177">
        <v>2012</v>
      </c>
      <c r="AM91" s="177">
        <v>2011</v>
      </c>
      <c r="AN91" s="177" t="b">
        <v>0</v>
      </c>
      <c r="AO91" s="177">
        <v>2011</v>
      </c>
      <c r="AP91" s="177" t="s">
        <v>109</v>
      </c>
      <c r="AQ91" s="177" t="s">
        <v>514</v>
      </c>
      <c r="AR91" s="177" t="b">
        <v>0</v>
      </c>
      <c r="AS91" s="177" t="s">
        <v>123</v>
      </c>
      <c r="AT91" s="180" t="s">
        <v>123</v>
      </c>
      <c r="AU91" s="177" t="s">
        <v>124</v>
      </c>
      <c r="AV91" s="177" t="s">
        <v>109</v>
      </c>
      <c r="AW91" s="177" t="s">
        <v>109</v>
      </c>
      <c r="AX91" s="177" t="s">
        <v>109</v>
      </c>
      <c r="AY91" s="177" t="s">
        <v>135</v>
      </c>
      <c r="AZ91" s="177" t="s">
        <v>109</v>
      </c>
      <c r="BA91" s="177" t="s">
        <v>494</v>
      </c>
      <c r="BB91" s="177">
        <v>2019</v>
      </c>
      <c r="BC91" s="177" t="s">
        <v>126</v>
      </c>
      <c r="BD91" s="177" t="s">
        <v>109</v>
      </c>
      <c r="BE91" s="180" t="s">
        <v>827</v>
      </c>
      <c r="BF91" s="180" t="s">
        <v>828</v>
      </c>
      <c r="BG91" s="180" t="s">
        <v>829</v>
      </c>
      <c r="BH91" s="177" t="s">
        <v>699</v>
      </c>
      <c r="BI91" s="177" t="s">
        <v>459</v>
      </c>
      <c r="BJ91" s="177" t="b">
        <v>1</v>
      </c>
      <c r="BK91" s="233">
        <v>9464.4570000000003</v>
      </c>
      <c r="BL91" s="234" t="s">
        <v>128</v>
      </c>
      <c r="BM91" s="233">
        <v>10805.15559</v>
      </c>
      <c r="BN91" s="233">
        <v>507.57911999999999</v>
      </c>
      <c r="BO91" s="233">
        <v>2906.1330499999999</v>
      </c>
      <c r="BP91" s="233">
        <v>2524.9442199999999</v>
      </c>
      <c r="BQ91" s="233">
        <v>709.31299000000001</v>
      </c>
      <c r="BR91" s="233">
        <v>72.007090000000005</v>
      </c>
      <c r="BS91" s="233">
        <v>1.5854600000000001</v>
      </c>
      <c r="BT91" s="233">
        <v>0</v>
      </c>
      <c r="BU91" s="233">
        <v>0</v>
      </c>
      <c r="BV91" s="233">
        <v>0</v>
      </c>
      <c r="BW91" s="233">
        <v>0</v>
      </c>
      <c r="BX91" s="233">
        <v>0</v>
      </c>
      <c r="BY91" s="234">
        <v>0</v>
      </c>
      <c r="BZ91" s="236" t="s">
        <v>109</v>
      </c>
      <c r="CA91" s="236" t="s">
        <v>109</v>
      </c>
      <c r="CB91" s="236" t="s">
        <v>139</v>
      </c>
      <c r="CC91" s="233">
        <v>0</v>
      </c>
      <c r="CD91" s="233">
        <v>0</v>
      </c>
      <c r="CE91" s="233">
        <v>10022.250050000001</v>
      </c>
      <c r="CF91" s="233">
        <v>709.31299000000001</v>
      </c>
      <c r="CG91" s="233">
        <v>72.007090000000005</v>
      </c>
      <c r="CH91" s="233">
        <v>1.5854600000000001</v>
      </c>
      <c r="CI91" s="233">
        <v>0</v>
      </c>
      <c r="CJ91" s="237">
        <v>0</v>
      </c>
      <c r="CK91" s="177" t="s">
        <v>128</v>
      </c>
      <c r="CL91" s="177" t="s">
        <v>128</v>
      </c>
      <c r="CM91" s="155" t="s">
        <v>109</v>
      </c>
      <c r="CN91" s="229">
        <v>0</v>
      </c>
      <c r="CO91" s="229">
        <v>1</v>
      </c>
      <c r="CP91" t="s">
        <v>202</v>
      </c>
      <c r="CR91" s="248"/>
    </row>
    <row r="92" spans="1:96" ht="14.4" x14ac:dyDescent="0.3">
      <c r="A92">
        <v>89</v>
      </c>
      <c r="B92" s="173" t="s">
        <v>830</v>
      </c>
      <c r="C92" s="259"/>
      <c r="D92" s="260"/>
      <c r="E92" t="s">
        <v>109</v>
      </c>
      <c r="F92" t="s">
        <v>831</v>
      </c>
      <c r="G92" s="177" t="s">
        <v>111</v>
      </c>
      <c r="H92" s="177" t="s">
        <v>113</v>
      </c>
      <c r="I92" s="177" t="s">
        <v>109</v>
      </c>
      <c r="J92" s="177" t="s">
        <v>109</v>
      </c>
      <c r="K92" s="177" t="s">
        <v>114</v>
      </c>
      <c r="L92" s="177" t="s">
        <v>235</v>
      </c>
      <c r="M92" s="177" t="s">
        <v>109</v>
      </c>
      <c r="N92" s="177" t="s">
        <v>109</v>
      </c>
      <c r="O92" s="180" t="s">
        <v>109</v>
      </c>
      <c r="P92" s="177" t="s">
        <v>109</v>
      </c>
      <c r="Q92" s="177" t="s">
        <v>109</v>
      </c>
      <c r="R92" s="177" t="s">
        <v>109</v>
      </c>
      <c r="S92" s="177" t="s">
        <v>109</v>
      </c>
      <c r="T92" s="177" t="s">
        <v>116</v>
      </c>
      <c r="U92" s="177" t="s">
        <v>117</v>
      </c>
      <c r="V92" s="177" t="b">
        <v>0</v>
      </c>
      <c r="W92" s="177" t="s">
        <v>109</v>
      </c>
      <c r="X92" s="261"/>
      <c r="Y92" s="177" t="s">
        <v>118</v>
      </c>
      <c r="Z92" s="177" t="s">
        <v>118</v>
      </c>
      <c r="AA92" s="177" t="s">
        <v>119</v>
      </c>
      <c r="AB92" s="177" t="s">
        <v>434</v>
      </c>
      <c r="AC92" s="177">
        <v>4.3</v>
      </c>
      <c r="AD92" s="177" t="s">
        <v>119</v>
      </c>
      <c r="AE92" s="177" t="s">
        <v>832</v>
      </c>
      <c r="AF92" s="177">
        <v>3</v>
      </c>
      <c r="AG92" s="177">
        <v>12129</v>
      </c>
      <c r="AH92" s="177" t="s">
        <v>121</v>
      </c>
      <c r="AI92" s="177" t="b">
        <v>1</v>
      </c>
      <c r="AJ92" s="180">
        <v>44839</v>
      </c>
      <c r="AK92" s="177" t="s">
        <v>122</v>
      </c>
      <c r="AL92" s="177" t="s">
        <v>109</v>
      </c>
      <c r="AM92" s="177" t="s">
        <v>109</v>
      </c>
      <c r="AN92" s="177" t="b">
        <v>0</v>
      </c>
      <c r="AO92" s="177" t="s">
        <v>109</v>
      </c>
      <c r="AP92" s="177" t="s">
        <v>109</v>
      </c>
      <c r="AQ92" s="177" t="s">
        <v>118</v>
      </c>
      <c r="AR92" s="177" t="b">
        <v>0</v>
      </c>
      <c r="AS92" s="177" t="s">
        <v>123</v>
      </c>
      <c r="AT92" s="180" t="s">
        <v>123</v>
      </c>
      <c r="AU92" s="177" t="s">
        <v>109</v>
      </c>
      <c r="AV92" s="177" t="s">
        <v>109</v>
      </c>
      <c r="AW92" s="177" t="s">
        <v>118</v>
      </c>
      <c r="AX92" s="177" t="s">
        <v>118</v>
      </c>
      <c r="AY92" s="177" t="s">
        <v>135</v>
      </c>
      <c r="AZ92" s="177" t="s">
        <v>109</v>
      </c>
      <c r="BA92" s="177" t="s">
        <v>218</v>
      </c>
      <c r="BB92" s="177" t="s">
        <v>109</v>
      </c>
      <c r="BC92" s="177" t="s">
        <v>126</v>
      </c>
      <c r="BD92" s="177" t="s">
        <v>109</v>
      </c>
      <c r="BE92" s="180" t="s">
        <v>109</v>
      </c>
      <c r="BF92" s="180" t="s">
        <v>137</v>
      </c>
      <c r="BG92" s="180" t="s">
        <v>137</v>
      </c>
      <c r="BH92" s="177" t="s">
        <v>833</v>
      </c>
      <c r="BI92" s="177" t="s">
        <v>109</v>
      </c>
      <c r="BJ92" s="177" t="b">
        <v>0</v>
      </c>
      <c r="BK92" s="233" t="s">
        <v>118</v>
      </c>
      <c r="BL92" s="234" t="s">
        <v>128</v>
      </c>
      <c r="BM92" s="233">
        <f>1850.634412105-BM93</f>
        <v>815.86232210499998</v>
      </c>
      <c r="BN92" s="235">
        <f>478.6026145-BN93</f>
        <v>11.44706450000001</v>
      </c>
      <c r="BO92" s="235">
        <f>550.84532-BO93</f>
        <v>422.66521999999998</v>
      </c>
      <c r="BP92" s="235">
        <f>81.13144-BP93</f>
        <v>81.131439999999998</v>
      </c>
      <c r="BQ92" s="235">
        <f>7.09308-BQ93</f>
        <v>7.0930799999999996</v>
      </c>
      <c r="BR92" s="235">
        <f t="shared" ref="BR92:BX92" si="0">0-BR93</f>
        <v>0</v>
      </c>
      <c r="BS92" s="235">
        <f t="shared" si="0"/>
        <v>0</v>
      </c>
      <c r="BT92" s="235">
        <f t="shared" si="0"/>
        <v>0</v>
      </c>
      <c r="BU92" s="235">
        <f t="shared" si="0"/>
        <v>0</v>
      </c>
      <c r="BV92" s="235">
        <f t="shared" si="0"/>
        <v>0</v>
      </c>
      <c r="BW92" s="235">
        <f t="shared" si="0"/>
        <v>0</v>
      </c>
      <c r="BX92" s="235">
        <f t="shared" si="0"/>
        <v>0</v>
      </c>
      <c r="BY92" s="234">
        <v>0</v>
      </c>
      <c r="BZ92" s="236" t="s">
        <v>109</v>
      </c>
      <c r="CA92" s="236" t="s">
        <v>109</v>
      </c>
      <c r="CB92" s="236" t="s">
        <v>834</v>
      </c>
      <c r="CC92" s="235">
        <f>-2.3133755-CC93</f>
        <v>-2.3133754999999998</v>
      </c>
      <c r="CD92" s="235">
        <f>1034.77209-CD93</f>
        <v>0</v>
      </c>
      <c r="CE92" s="235">
        <f>502.86609-CE93</f>
        <v>502.86608999999999</v>
      </c>
      <c r="CF92" s="235">
        <f>43.15446-CF93</f>
        <v>43.15446</v>
      </c>
      <c r="CG92" s="235">
        <f>0-CG93</f>
        <v>0</v>
      </c>
      <c r="CH92" s="235">
        <f>0-CH93</f>
        <v>0</v>
      </c>
      <c r="CI92" s="235">
        <f>0-CI93</f>
        <v>0</v>
      </c>
      <c r="CJ92" s="237">
        <v>0</v>
      </c>
      <c r="CK92" s="177" t="s">
        <v>128</v>
      </c>
      <c r="CL92" s="177" t="s">
        <v>128</v>
      </c>
      <c r="CM92" s="155" t="s">
        <v>109</v>
      </c>
      <c r="CN92" s="229">
        <v>0</v>
      </c>
      <c r="CO92" s="229">
        <v>1</v>
      </c>
      <c r="CP92" t="s">
        <v>480</v>
      </c>
      <c r="CR92" s="248"/>
    </row>
    <row r="93" spans="1:96" ht="14.4" x14ac:dyDescent="0.3">
      <c r="A93">
        <v>90</v>
      </c>
      <c r="B93" s="173" t="s">
        <v>835</v>
      </c>
      <c r="C93" s="259"/>
      <c r="D93" s="260"/>
      <c r="E93" t="s">
        <v>191</v>
      </c>
      <c r="F93" t="s">
        <v>836</v>
      </c>
      <c r="G93" s="177" t="s">
        <v>133</v>
      </c>
      <c r="H93" s="177" t="s">
        <v>113</v>
      </c>
      <c r="I93" s="177" t="s">
        <v>109</v>
      </c>
      <c r="J93" s="177" t="s">
        <v>109</v>
      </c>
      <c r="K93" s="177" t="s">
        <v>114</v>
      </c>
      <c r="L93" s="177" t="s">
        <v>432</v>
      </c>
      <c r="M93" s="177" t="s">
        <v>109</v>
      </c>
      <c r="N93" s="177" t="s">
        <v>109</v>
      </c>
      <c r="O93" s="180" t="s">
        <v>109</v>
      </c>
      <c r="P93" s="177" t="s">
        <v>109</v>
      </c>
      <c r="Q93" s="177" t="s">
        <v>109</v>
      </c>
      <c r="R93" s="177" t="s">
        <v>109</v>
      </c>
      <c r="S93" s="177" t="s">
        <v>109</v>
      </c>
      <c r="T93" s="177" t="s">
        <v>116</v>
      </c>
      <c r="U93" s="177" t="s">
        <v>117</v>
      </c>
      <c r="V93" s="177" t="b">
        <v>0</v>
      </c>
      <c r="W93" s="177" t="s">
        <v>109</v>
      </c>
      <c r="X93" s="261"/>
      <c r="Y93" s="177" t="s">
        <v>109</v>
      </c>
      <c r="Z93" s="177" t="s">
        <v>118</v>
      </c>
      <c r="AA93" s="177" t="s">
        <v>452</v>
      </c>
      <c r="AB93" s="177" t="s">
        <v>434</v>
      </c>
      <c r="AC93" s="177">
        <v>4.3</v>
      </c>
      <c r="AD93" s="177" t="s">
        <v>109</v>
      </c>
      <c r="AE93" s="177" t="s">
        <v>832</v>
      </c>
      <c r="AF93" s="177">
        <v>1</v>
      </c>
      <c r="AG93" s="177">
        <v>12129</v>
      </c>
      <c r="AH93" s="177" t="s">
        <v>121</v>
      </c>
      <c r="AI93" s="177" t="b">
        <v>1</v>
      </c>
      <c r="AJ93" s="180">
        <v>43570</v>
      </c>
      <c r="AK93" s="177" t="s">
        <v>122</v>
      </c>
      <c r="AL93" s="177" t="s">
        <v>109</v>
      </c>
      <c r="AM93" s="177" t="s">
        <v>109</v>
      </c>
      <c r="AN93" s="177" t="b">
        <v>0</v>
      </c>
      <c r="AO93" s="177" t="s">
        <v>109</v>
      </c>
      <c r="AP93" s="177" t="s">
        <v>109</v>
      </c>
      <c r="AQ93" s="177" t="s">
        <v>109</v>
      </c>
      <c r="AR93" s="177" t="b">
        <v>0</v>
      </c>
      <c r="AS93" s="177" t="s">
        <v>123</v>
      </c>
      <c r="AT93" s="180" t="s">
        <v>123</v>
      </c>
      <c r="AU93" s="177" t="s">
        <v>109</v>
      </c>
      <c r="AV93" s="177" t="s">
        <v>109</v>
      </c>
      <c r="AW93" s="177" t="s">
        <v>109</v>
      </c>
      <c r="AX93" s="177" t="s">
        <v>109</v>
      </c>
      <c r="AY93" s="177" t="s">
        <v>135</v>
      </c>
      <c r="AZ93" s="177" t="s">
        <v>109</v>
      </c>
      <c r="BA93" s="177" t="s">
        <v>218</v>
      </c>
      <c r="BB93" s="177" t="s">
        <v>109</v>
      </c>
      <c r="BC93" s="177" t="s">
        <v>126</v>
      </c>
      <c r="BD93" s="177" t="s">
        <v>109</v>
      </c>
      <c r="BE93" s="180" t="s">
        <v>109</v>
      </c>
      <c r="BF93" s="180" t="s">
        <v>172</v>
      </c>
      <c r="BG93" s="180">
        <v>44226</v>
      </c>
      <c r="BH93" s="177" t="s">
        <v>109</v>
      </c>
      <c r="BI93" s="177" t="s">
        <v>109</v>
      </c>
      <c r="BJ93" s="177" t="b">
        <v>0</v>
      </c>
      <c r="BK93" s="233">
        <v>161.18</v>
      </c>
      <c r="BL93" s="234" t="s">
        <v>128</v>
      </c>
      <c r="BM93" s="233">
        <v>1034.7720899999999</v>
      </c>
      <c r="BN93" s="233">
        <v>467.15555000000001</v>
      </c>
      <c r="BO93" s="233">
        <v>128.18010000000001</v>
      </c>
      <c r="BP93" s="233">
        <v>0</v>
      </c>
      <c r="BQ93" s="233">
        <v>0</v>
      </c>
      <c r="BR93" s="233">
        <v>0</v>
      </c>
      <c r="BS93" s="233">
        <v>0</v>
      </c>
      <c r="BT93" s="233">
        <v>0</v>
      </c>
      <c r="BU93" s="233">
        <v>0</v>
      </c>
      <c r="BV93" s="233">
        <v>0</v>
      </c>
      <c r="BW93" s="233">
        <v>0</v>
      </c>
      <c r="BX93" s="233">
        <v>0</v>
      </c>
      <c r="BY93" s="234">
        <v>0</v>
      </c>
      <c r="BZ93" s="236" t="s">
        <v>109</v>
      </c>
      <c r="CA93" s="236" t="s">
        <v>109</v>
      </c>
      <c r="CB93" s="236">
        <v>2021</v>
      </c>
      <c r="CC93" s="233">
        <v>0</v>
      </c>
      <c r="CD93" s="233">
        <v>1034.7720899999999</v>
      </c>
      <c r="CE93" s="233">
        <v>0</v>
      </c>
      <c r="CF93" s="233">
        <v>0</v>
      </c>
      <c r="CG93" s="233">
        <v>0</v>
      </c>
      <c r="CH93" s="233">
        <v>0</v>
      </c>
      <c r="CI93" s="233">
        <v>0</v>
      </c>
      <c r="CJ93" s="237">
        <v>0</v>
      </c>
      <c r="CK93" s="177" t="s">
        <v>128</v>
      </c>
      <c r="CL93" s="177" t="s">
        <v>128</v>
      </c>
      <c r="CM93" s="155" t="s">
        <v>109</v>
      </c>
      <c r="CN93" s="229">
        <v>0</v>
      </c>
      <c r="CO93" s="229">
        <v>1</v>
      </c>
      <c r="CP93" t="s">
        <v>480</v>
      </c>
      <c r="CR93" s="248"/>
    </row>
    <row r="94" spans="1:96" ht="14.4" x14ac:dyDescent="0.3">
      <c r="A94">
        <v>91</v>
      </c>
      <c r="B94" s="173" t="s">
        <v>837</v>
      </c>
      <c r="C94" s="259"/>
      <c r="D94" s="260"/>
      <c r="E94" t="s">
        <v>109</v>
      </c>
      <c r="F94" t="s">
        <v>838</v>
      </c>
      <c r="G94" s="177" t="s">
        <v>111</v>
      </c>
      <c r="H94" s="177" t="s">
        <v>113</v>
      </c>
      <c r="I94" s="177" t="s">
        <v>109</v>
      </c>
      <c r="J94" s="177" t="s">
        <v>109</v>
      </c>
      <c r="K94" s="177" t="s">
        <v>114</v>
      </c>
      <c r="L94" s="177" t="s">
        <v>839</v>
      </c>
      <c r="M94" s="177" t="s">
        <v>840</v>
      </c>
      <c r="N94" s="177" t="s">
        <v>109</v>
      </c>
      <c r="O94" s="180" t="s">
        <v>109</v>
      </c>
      <c r="P94" s="177" t="s">
        <v>109</v>
      </c>
      <c r="Q94" s="177" t="s">
        <v>109</v>
      </c>
      <c r="R94" s="177" t="s">
        <v>109</v>
      </c>
      <c r="S94" s="177" t="s">
        <v>109</v>
      </c>
      <c r="T94" s="177" t="s">
        <v>116</v>
      </c>
      <c r="U94" s="177" t="s">
        <v>117</v>
      </c>
      <c r="V94" s="177" t="b">
        <v>0</v>
      </c>
      <c r="W94" s="177" t="s">
        <v>109</v>
      </c>
      <c r="X94" s="261"/>
      <c r="Y94" s="177" t="s">
        <v>118</v>
      </c>
      <c r="Z94" s="177" t="s">
        <v>118</v>
      </c>
      <c r="AA94" s="177" t="s">
        <v>215</v>
      </c>
      <c r="AB94" s="177" t="s">
        <v>434</v>
      </c>
      <c r="AC94" s="177">
        <v>4.3</v>
      </c>
      <c r="AD94" s="177" t="s">
        <v>119</v>
      </c>
      <c r="AE94" s="177" t="s">
        <v>841</v>
      </c>
      <c r="AF94" s="177">
        <v>28</v>
      </c>
      <c r="AG94" s="177">
        <v>12132</v>
      </c>
      <c r="AH94" s="177" t="s">
        <v>121</v>
      </c>
      <c r="AI94" s="177" t="b">
        <v>1</v>
      </c>
      <c r="AJ94" s="180">
        <v>45635</v>
      </c>
      <c r="AK94" s="177" t="s">
        <v>122</v>
      </c>
      <c r="AL94" s="177" t="s">
        <v>109</v>
      </c>
      <c r="AM94" s="177" t="s">
        <v>109</v>
      </c>
      <c r="AN94" s="177" t="b">
        <v>0</v>
      </c>
      <c r="AO94" s="177" t="s">
        <v>109</v>
      </c>
      <c r="AP94" s="177" t="s">
        <v>109</v>
      </c>
      <c r="AQ94" s="177" t="s">
        <v>118</v>
      </c>
      <c r="AR94" s="177" t="b">
        <v>0</v>
      </c>
      <c r="AS94" s="177" t="s">
        <v>123</v>
      </c>
      <c r="AT94" s="180" t="s">
        <v>123</v>
      </c>
      <c r="AU94" s="177" t="s">
        <v>109</v>
      </c>
      <c r="AV94" s="177" t="s">
        <v>109</v>
      </c>
      <c r="AW94" s="177" t="s">
        <v>118</v>
      </c>
      <c r="AX94" s="177" t="s">
        <v>118</v>
      </c>
      <c r="AY94" s="177" t="s">
        <v>135</v>
      </c>
      <c r="AZ94" s="177" t="s">
        <v>109</v>
      </c>
      <c r="BA94" s="177" t="s">
        <v>218</v>
      </c>
      <c r="BB94" s="177" t="s">
        <v>109</v>
      </c>
      <c r="BC94" s="177" t="s">
        <v>126</v>
      </c>
      <c r="BD94" s="177" t="s">
        <v>109</v>
      </c>
      <c r="BE94" s="180" t="s">
        <v>109</v>
      </c>
      <c r="BF94" s="180" t="s">
        <v>127</v>
      </c>
      <c r="BG94" s="180" t="s">
        <v>119</v>
      </c>
      <c r="BH94" s="177" t="s">
        <v>109</v>
      </c>
      <c r="BI94" s="177" t="s">
        <v>109</v>
      </c>
      <c r="BJ94" s="177" t="b">
        <v>1</v>
      </c>
      <c r="BK94" s="233" t="s">
        <v>118</v>
      </c>
      <c r="BL94" s="234" t="s">
        <v>128</v>
      </c>
      <c r="BM94" s="233">
        <f>67552.1223652883-SUM(BM95:BM98)</f>
        <v>62395.093366979418</v>
      </c>
      <c r="BN94" s="235">
        <f>817.6920493-SUM(BN95:BN98)</f>
        <v>817.69204930000001</v>
      </c>
      <c r="BO94" s="235">
        <f>1288.9526002-SUM(BO95:BO98)</f>
        <v>1087.1578202000001</v>
      </c>
      <c r="BP94" s="235">
        <f>1071.2421925-SUM(BP95:BP98)</f>
        <v>785.82354250000003</v>
      </c>
      <c r="BQ94" s="235">
        <f>1464.3402028-SUM(BQ95:BQ98)</f>
        <v>517.66393280000011</v>
      </c>
      <c r="BR94" s="235">
        <f>2734.43011-SUM(BR95:BR98)</f>
        <v>1172.2077599999998</v>
      </c>
      <c r="BS94" s="235">
        <f>510.78138-SUM(BS95:BS98)</f>
        <v>266.42034000000001</v>
      </c>
      <c r="BT94" s="235">
        <f>1808.7591495-SUM(BT95:BT98)</f>
        <v>1176.9138914999999</v>
      </c>
      <c r="BU94" s="235">
        <f>3696.8960622-SUM(BU95:BU98)</f>
        <v>2412.1854119</v>
      </c>
      <c r="BV94" s="235">
        <f>4164.6003695-SUM(BV95:BV98)</f>
        <v>4164.6003694999999</v>
      </c>
      <c r="BW94" s="235">
        <f>4575.3443567-SUM(BW95:BW98)</f>
        <v>4575.3443567000004</v>
      </c>
      <c r="BX94" s="235">
        <f>5096.6912861-SUM(BX95:BX98)</f>
        <v>5096.6912861000001</v>
      </c>
      <c r="BY94" s="234">
        <v>2236.8160800000001</v>
      </c>
      <c r="BZ94" s="236" t="s">
        <v>109</v>
      </c>
      <c r="CA94" s="236" t="s">
        <v>109</v>
      </c>
      <c r="CB94" s="236" t="s">
        <v>842</v>
      </c>
      <c r="CC94" s="235">
        <f>0-SUM(CC95:CC98)</f>
        <v>0</v>
      </c>
      <c r="CD94" s="235">
        <f>2000.6913057-SUM(CD95:CD98)</f>
        <v>2000.6913056999999</v>
      </c>
      <c r="CE94" s="235">
        <f>385.5493425-SUM(CE95:CE98)</f>
        <v>385.54934250000002</v>
      </c>
      <c r="CF94" s="235">
        <f>2088.16354-SUM(CF95:CF98)</f>
        <v>1098.95119</v>
      </c>
      <c r="CG94" s="235">
        <f>13.95794-SUM(CG95:CG98)</f>
        <v>1.3717700000000015</v>
      </c>
      <c r="CH94" s="235">
        <f>0-SUM(CH95:CH98)</f>
        <v>0</v>
      </c>
      <c r="CI94" s="235">
        <f>2159.9395699-SUM(CI95:CI98)</f>
        <v>1542.4987269000003</v>
      </c>
      <c r="CJ94" s="237">
        <v>0</v>
      </c>
      <c r="CK94" s="177" t="s">
        <v>128</v>
      </c>
      <c r="CL94" s="177">
        <v>34</v>
      </c>
      <c r="CM94" s="155" t="s">
        <v>109</v>
      </c>
      <c r="CN94" s="229">
        <v>0</v>
      </c>
      <c r="CO94" s="229">
        <v>1</v>
      </c>
      <c r="CP94" t="s">
        <v>480</v>
      </c>
      <c r="CR94" s="248"/>
    </row>
    <row r="95" spans="1:96" ht="14.4" x14ac:dyDescent="0.3">
      <c r="A95">
        <v>92</v>
      </c>
      <c r="B95" s="173" t="s">
        <v>843</v>
      </c>
      <c r="C95" s="259"/>
      <c r="D95" s="260"/>
      <c r="E95" t="s">
        <v>844</v>
      </c>
      <c r="F95" t="s">
        <v>845</v>
      </c>
      <c r="G95" s="177" t="s">
        <v>439</v>
      </c>
      <c r="H95" s="177" t="s">
        <v>113</v>
      </c>
      <c r="I95" s="177" t="s">
        <v>109</v>
      </c>
      <c r="J95" s="177" t="s">
        <v>109</v>
      </c>
      <c r="K95" s="177" t="s">
        <v>114</v>
      </c>
      <c r="L95" s="177" t="s">
        <v>432</v>
      </c>
      <c r="M95" s="177" t="s">
        <v>109</v>
      </c>
      <c r="N95" s="177" t="s">
        <v>109</v>
      </c>
      <c r="O95" s="180">
        <v>45765</v>
      </c>
      <c r="P95" s="177" t="s">
        <v>617</v>
      </c>
      <c r="Q95" s="177" t="s">
        <v>109</v>
      </c>
      <c r="R95" s="177" t="s">
        <v>109</v>
      </c>
      <c r="S95" s="177" t="s">
        <v>109</v>
      </c>
      <c r="T95" s="177" t="s">
        <v>116</v>
      </c>
      <c r="U95" s="177" t="s">
        <v>117</v>
      </c>
      <c r="V95" s="177" t="b">
        <v>0</v>
      </c>
      <c r="W95" s="177" t="s">
        <v>109</v>
      </c>
      <c r="X95" s="261"/>
      <c r="Y95" s="177" t="s">
        <v>109</v>
      </c>
      <c r="Z95" s="176">
        <v>1.92</v>
      </c>
      <c r="AA95" s="177">
        <v>69</v>
      </c>
      <c r="AB95" s="177" t="s">
        <v>434</v>
      </c>
      <c r="AC95" s="177">
        <v>4.3</v>
      </c>
      <c r="AD95" s="177" t="s">
        <v>846</v>
      </c>
      <c r="AE95" s="177" t="s">
        <v>841</v>
      </c>
      <c r="AF95" s="177">
        <v>1</v>
      </c>
      <c r="AG95" s="177">
        <v>12132</v>
      </c>
      <c r="AH95" s="177" t="s">
        <v>121</v>
      </c>
      <c r="AI95" s="177" t="b">
        <v>1</v>
      </c>
      <c r="AJ95" s="180">
        <v>44805</v>
      </c>
      <c r="AK95" s="177" t="s">
        <v>122</v>
      </c>
      <c r="AL95" s="177" t="s">
        <v>109</v>
      </c>
      <c r="AM95" s="177" t="s">
        <v>109</v>
      </c>
      <c r="AN95" s="177" t="b">
        <v>0</v>
      </c>
      <c r="AO95" s="177" t="s">
        <v>109</v>
      </c>
      <c r="AP95" s="177" t="s">
        <v>109</v>
      </c>
      <c r="AQ95" s="177" t="s">
        <v>109</v>
      </c>
      <c r="AR95" s="177" t="b">
        <v>0</v>
      </c>
      <c r="AS95" s="177" t="s">
        <v>123</v>
      </c>
      <c r="AT95" s="180" t="s">
        <v>123</v>
      </c>
      <c r="AU95" s="177" t="s">
        <v>109</v>
      </c>
      <c r="AV95" s="177" t="s">
        <v>109</v>
      </c>
      <c r="AW95" s="177" t="s">
        <v>118</v>
      </c>
      <c r="AX95" s="177" t="s">
        <v>118</v>
      </c>
      <c r="AY95" s="177" t="s">
        <v>135</v>
      </c>
      <c r="AZ95" s="177" t="s">
        <v>109</v>
      </c>
      <c r="BA95" s="177" t="s">
        <v>218</v>
      </c>
      <c r="BB95" s="177" t="s">
        <v>109</v>
      </c>
      <c r="BC95" s="177" t="s">
        <v>425</v>
      </c>
      <c r="BD95" s="177" t="s">
        <v>109</v>
      </c>
      <c r="BE95" s="180" t="s">
        <v>847</v>
      </c>
      <c r="BF95" s="180" t="s">
        <v>848</v>
      </c>
      <c r="BG95" s="180" t="s">
        <v>849</v>
      </c>
      <c r="BH95" s="177" t="s">
        <v>459</v>
      </c>
      <c r="BI95" s="177" t="s">
        <v>109</v>
      </c>
      <c r="BJ95" s="177" t="b">
        <v>0</v>
      </c>
      <c r="BK95" s="233">
        <v>363.94923</v>
      </c>
      <c r="BL95" s="234" t="s">
        <v>128</v>
      </c>
      <c r="BM95" s="233">
        <v>1315.0162227656101</v>
      </c>
      <c r="BN95" s="233">
        <v>0</v>
      </c>
      <c r="BO95" s="233">
        <v>0</v>
      </c>
      <c r="BP95" s="233">
        <v>15.18451</v>
      </c>
      <c r="BQ95" s="233">
        <v>245.11476999999999</v>
      </c>
      <c r="BR95" s="233">
        <v>597.39728000000002</v>
      </c>
      <c r="BS95" s="233">
        <v>42.123750000000001</v>
      </c>
      <c r="BT95" s="233">
        <v>179.4242558</v>
      </c>
      <c r="BU95" s="233">
        <v>235.771657</v>
      </c>
      <c r="BV95" s="233">
        <v>0</v>
      </c>
      <c r="BW95" s="233">
        <v>0</v>
      </c>
      <c r="BX95" s="233">
        <v>0</v>
      </c>
      <c r="BY95" s="234">
        <v>900</v>
      </c>
      <c r="BZ95" s="236" t="s">
        <v>109</v>
      </c>
      <c r="CA95" s="236" t="s">
        <v>109</v>
      </c>
      <c r="CB95" s="236" t="s">
        <v>109</v>
      </c>
      <c r="CC95" s="233">
        <v>0</v>
      </c>
      <c r="CD95" s="233">
        <v>0</v>
      </c>
      <c r="CE95" s="233">
        <v>0</v>
      </c>
      <c r="CF95" s="233">
        <v>0</v>
      </c>
      <c r="CG95" s="233">
        <v>0</v>
      </c>
      <c r="CH95" s="233">
        <v>0</v>
      </c>
      <c r="CI95" s="233">
        <v>0</v>
      </c>
      <c r="CJ95" s="237">
        <v>0</v>
      </c>
      <c r="CK95" s="177" t="s">
        <v>128</v>
      </c>
      <c r="CL95" s="177" t="s">
        <v>128</v>
      </c>
      <c r="CM95" s="155" t="s">
        <v>109</v>
      </c>
      <c r="CN95" s="229">
        <v>0</v>
      </c>
      <c r="CO95" s="229">
        <v>1</v>
      </c>
      <c r="CP95" t="s">
        <v>480</v>
      </c>
      <c r="CR95" s="248"/>
    </row>
    <row r="96" spans="1:96" ht="14.4" x14ac:dyDescent="0.3">
      <c r="A96">
        <v>93</v>
      </c>
      <c r="B96" s="173" t="s">
        <v>850</v>
      </c>
      <c r="C96" s="259"/>
      <c r="D96" s="260"/>
      <c r="E96" t="s">
        <v>329</v>
      </c>
      <c r="F96" t="s">
        <v>851</v>
      </c>
      <c r="G96" s="177" t="s">
        <v>439</v>
      </c>
      <c r="H96" s="177" t="s">
        <v>113</v>
      </c>
      <c r="I96" s="177" t="s">
        <v>109</v>
      </c>
      <c r="J96" s="177" t="s">
        <v>109</v>
      </c>
      <c r="K96" s="177" t="s">
        <v>114</v>
      </c>
      <c r="L96" s="177" t="s">
        <v>432</v>
      </c>
      <c r="M96" s="177" t="s">
        <v>109</v>
      </c>
      <c r="N96" s="177" t="s">
        <v>109</v>
      </c>
      <c r="O96" s="180">
        <v>45749</v>
      </c>
      <c r="P96" s="177" t="s">
        <v>852</v>
      </c>
      <c r="Q96" s="177" t="s">
        <v>109</v>
      </c>
      <c r="R96" s="177" t="s">
        <v>109</v>
      </c>
      <c r="S96" s="177" t="s">
        <v>109</v>
      </c>
      <c r="T96" s="177" t="s">
        <v>116</v>
      </c>
      <c r="U96" s="177" t="s">
        <v>117</v>
      </c>
      <c r="V96" s="177" t="b">
        <v>0</v>
      </c>
      <c r="W96" s="177" t="s">
        <v>109</v>
      </c>
      <c r="X96" s="261"/>
      <c r="Y96" s="177" t="s">
        <v>109</v>
      </c>
      <c r="Z96" s="176">
        <v>1.35</v>
      </c>
      <c r="AA96" s="177">
        <v>69</v>
      </c>
      <c r="AB96" s="177" t="s">
        <v>434</v>
      </c>
      <c r="AC96" s="177">
        <v>4.3</v>
      </c>
      <c r="AD96" s="177" t="s">
        <v>853</v>
      </c>
      <c r="AE96" s="177" t="s">
        <v>841</v>
      </c>
      <c r="AF96" s="177">
        <v>1</v>
      </c>
      <c r="AG96" s="177">
        <v>12132</v>
      </c>
      <c r="AH96" s="177" t="s">
        <v>121</v>
      </c>
      <c r="AI96" s="177" t="b">
        <v>1</v>
      </c>
      <c r="AJ96" s="180">
        <v>44454</v>
      </c>
      <c r="AK96" s="177" t="s">
        <v>122</v>
      </c>
      <c r="AL96" s="177" t="s">
        <v>109</v>
      </c>
      <c r="AM96" s="177" t="s">
        <v>109</v>
      </c>
      <c r="AN96" s="177" t="b">
        <v>0</v>
      </c>
      <c r="AO96" s="177" t="s">
        <v>109</v>
      </c>
      <c r="AP96" s="177" t="s">
        <v>109</v>
      </c>
      <c r="AQ96" s="177" t="s">
        <v>109</v>
      </c>
      <c r="AR96" s="177" t="b">
        <v>0</v>
      </c>
      <c r="AS96" s="177" t="s">
        <v>123</v>
      </c>
      <c r="AT96" s="180" t="s">
        <v>123</v>
      </c>
      <c r="AU96" s="177" t="s">
        <v>109</v>
      </c>
      <c r="AV96" s="177" t="s">
        <v>109</v>
      </c>
      <c r="AW96" s="177" t="s">
        <v>118</v>
      </c>
      <c r="AX96" s="177" t="s">
        <v>118</v>
      </c>
      <c r="AY96" s="177" t="s">
        <v>135</v>
      </c>
      <c r="AZ96" s="177" t="s">
        <v>109</v>
      </c>
      <c r="BA96" s="177" t="s">
        <v>218</v>
      </c>
      <c r="BB96" s="177" t="s">
        <v>109</v>
      </c>
      <c r="BC96" s="177" t="s">
        <v>397</v>
      </c>
      <c r="BD96" s="177" t="s">
        <v>109</v>
      </c>
      <c r="BE96" s="180" t="s">
        <v>592</v>
      </c>
      <c r="BF96" s="180" t="s">
        <v>453</v>
      </c>
      <c r="BG96" s="180" t="s">
        <v>854</v>
      </c>
      <c r="BH96" s="177" t="s">
        <v>459</v>
      </c>
      <c r="BI96" s="177" t="s">
        <v>109</v>
      </c>
      <c r="BJ96" s="177" t="b">
        <v>0</v>
      </c>
      <c r="BK96" s="233">
        <v>298.14485000000002</v>
      </c>
      <c r="BL96" s="234" t="s">
        <v>128</v>
      </c>
      <c r="BM96" s="233">
        <v>1689.75461793519</v>
      </c>
      <c r="BN96" s="233">
        <v>0</v>
      </c>
      <c r="BO96" s="233">
        <v>0.58867000000000003</v>
      </c>
      <c r="BP96" s="233">
        <v>4.3536700000000002</v>
      </c>
      <c r="BQ96" s="233">
        <v>179.43573000000001</v>
      </c>
      <c r="BR96" s="233">
        <v>700.83135000000004</v>
      </c>
      <c r="BS96" s="233">
        <v>5.9635300000000004</v>
      </c>
      <c r="BT96" s="233">
        <v>282.6614692</v>
      </c>
      <c r="BU96" s="233">
        <v>515.92019870000001</v>
      </c>
      <c r="BV96" s="233">
        <v>0</v>
      </c>
      <c r="BW96" s="233">
        <v>0</v>
      </c>
      <c r="BX96" s="233">
        <v>0</v>
      </c>
      <c r="BY96" s="234">
        <v>891</v>
      </c>
      <c r="BZ96" s="236" t="s">
        <v>109</v>
      </c>
      <c r="CA96" s="236" t="s">
        <v>109</v>
      </c>
      <c r="CB96" s="236" t="s">
        <v>109</v>
      </c>
      <c r="CC96" s="233">
        <v>0</v>
      </c>
      <c r="CD96" s="233">
        <v>0</v>
      </c>
      <c r="CE96" s="233">
        <v>0</v>
      </c>
      <c r="CF96" s="233">
        <v>0</v>
      </c>
      <c r="CG96" s="233">
        <v>0</v>
      </c>
      <c r="CH96" s="233">
        <v>0</v>
      </c>
      <c r="CI96" s="233">
        <v>0</v>
      </c>
      <c r="CJ96" s="237">
        <v>0</v>
      </c>
      <c r="CK96" s="177" t="s">
        <v>128</v>
      </c>
      <c r="CL96" s="177" t="s">
        <v>128</v>
      </c>
      <c r="CM96" s="155" t="s">
        <v>109</v>
      </c>
      <c r="CN96" s="229">
        <v>0</v>
      </c>
      <c r="CO96" s="229">
        <v>1</v>
      </c>
      <c r="CP96" t="s">
        <v>480</v>
      </c>
      <c r="CR96" s="248"/>
    </row>
    <row r="97" spans="1:96" ht="14.4" x14ac:dyDescent="0.3">
      <c r="A97">
        <v>94</v>
      </c>
      <c r="B97" s="173" t="s">
        <v>855</v>
      </c>
      <c r="C97" s="259"/>
      <c r="D97" s="260"/>
      <c r="E97" t="s">
        <v>749</v>
      </c>
      <c r="F97" t="s">
        <v>856</v>
      </c>
      <c r="G97" s="177" t="s">
        <v>439</v>
      </c>
      <c r="H97" s="177" t="s">
        <v>113</v>
      </c>
      <c r="I97" s="177" t="s">
        <v>109</v>
      </c>
      <c r="J97" s="177" t="s">
        <v>109</v>
      </c>
      <c r="K97" s="177" t="s">
        <v>114</v>
      </c>
      <c r="L97" s="177" t="s">
        <v>432</v>
      </c>
      <c r="M97" s="177" t="s">
        <v>109</v>
      </c>
      <c r="N97" s="177" t="s">
        <v>109</v>
      </c>
      <c r="O97" s="180">
        <v>45708</v>
      </c>
      <c r="P97" s="177" t="s">
        <v>147</v>
      </c>
      <c r="Q97" s="177" t="s">
        <v>109</v>
      </c>
      <c r="R97" s="177" t="s">
        <v>109</v>
      </c>
      <c r="S97" s="177" t="s">
        <v>109</v>
      </c>
      <c r="T97" s="177" t="s">
        <v>116</v>
      </c>
      <c r="U97" s="177" t="s">
        <v>117</v>
      </c>
      <c r="V97" s="177" t="b">
        <v>0</v>
      </c>
      <c r="W97" s="177" t="s">
        <v>109</v>
      </c>
      <c r="X97" s="261"/>
      <c r="Y97" s="177" t="s">
        <v>109</v>
      </c>
      <c r="Z97" s="176">
        <v>4.66</v>
      </c>
      <c r="AA97" s="177">
        <v>230</v>
      </c>
      <c r="AB97" s="177" t="s">
        <v>434</v>
      </c>
      <c r="AC97" s="177">
        <v>4.3</v>
      </c>
      <c r="AD97" s="177" t="s">
        <v>857</v>
      </c>
      <c r="AE97" s="177" t="s">
        <v>841</v>
      </c>
      <c r="AF97" s="177">
        <v>1</v>
      </c>
      <c r="AG97" s="177">
        <v>12132</v>
      </c>
      <c r="AH97" s="177" t="s">
        <v>121</v>
      </c>
      <c r="AI97" s="177" t="b">
        <v>1</v>
      </c>
      <c r="AJ97" s="180">
        <v>44134</v>
      </c>
      <c r="AK97" s="177" t="s">
        <v>122</v>
      </c>
      <c r="AL97" s="177" t="s">
        <v>109</v>
      </c>
      <c r="AM97" s="177" t="s">
        <v>109</v>
      </c>
      <c r="AN97" s="177" t="b">
        <v>0</v>
      </c>
      <c r="AO97" s="177" t="s">
        <v>109</v>
      </c>
      <c r="AP97" s="177" t="s">
        <v>109</v>
      </c>
      <c r="AQ97" s="177" t="s">
        <v>109</v>
      </c>
      <c r="AR97" s="177" t="b">
        <v>0</v>
      </c>
      <c r="AS97" s="177" t="s">
        <v>123</v>
      </c>
      <c r="AT97" s="180" t="s">
        <v>123</v>
      </c>
      <c r="AU97" s="177" t="s">
        <v>109</v>
      </c>
      <c r="AV97" s="177" t="s">
        <v>109</v>
      </c>
      <c r="AW97" s="177" t="s">
        <v>118</v>
      </c>
      <c r="AX97" s="177" t="s">
        <v>118</v>
      </c>
      <c r="AY97" s="177" t="s">
        <v>135</v>
      </c>
      <c r="AZ97" s="177" t="s">
        <v>109</v>
      </c>
      <c r="BA97" s="177" t="s">
        <v>218</v>
      </c>
      <c r="BB97" s="177" t="s">
        <v>109</v>
      </c>
      <c r="BC97" s="177" t="s">
        <v>126</v>
      </c>
      <c r="BD97" s="177" t="s">
        <v>109</v>
      </c>
      <c r="BE97" s="180" t="s">
        <v>109</v>
      </c>
      <c r="BF97" s="180" t="s">
        <v>453</v>
      </c>
      <c r="BG97" s="180" t="s">
        <v>858</v>
      </c>
      <c r="BH97" s="177" t="s">
        <v>521</v>
      </c>
      <c r="BI97" s="177" t="s">
        <v>109</v>
      </c>
      <c r="BJ97" s="177" t="b">
        <v>0</v>
      </c>
      <c r="BK97" s="233">
        <v>951.30898000000002</v>
      </c>
      <c r="BL97" s="234" t="s">
        <v>128</v>
      </c>
      <c r="BM97" s="233">
        <v>1001.7985200000001</v>
      </c>
      <c r="BN97" s="233">
        <v>0</v>
      </c>
      <c r="BO97" s="233">
        <v>201.20611</v>
      </c>
      <c r="BP97" s="233">
        <v>265.88047</v>
      </c>
      <c r="BQ97" s="233">
        <v>522.12576999999999</v>
      </c>
      <c r="BR97" s="233">
        <v>12.586169999999999</v>
      </c>
      <c r="BS97" s="233">
        <v>0</v>
      </c>
      <c r="BT97" s="233">
        <v>0</v>
      </c>
      <c r="BU97" s="233">
        <v>0</v>
      </c>
      <c r="BV97" s="233">
        <v>0</v>
      </c>
      <c r="BW97" s="233">
        <v>0</v>
      </c>
      <c r="BX97" s="233">
        <v>0</v>
      </c>
      <c r="BY97" s="234">
        <v>0</v>
      </c>
      <c r="BZ97" s="236" t="s">
        <v>109</v>
      </c>
      <c r="CA97" s="236" t="s">
        <v>109</v>
      </c>
      <c r="CB97" s="236" t="s">
        <v>174</v>
      </c>
      <c r="CC97" s="233">
        <v>0</v>
      </c>
      <c r="CD97" s="233">
        <v>0</v>
      </c>
      <c r="CE97" s="233">
        <v>0</v>
      </c>
      <c r="CF97" s="233">
        <v>989.21235000000001</v>
      </c>
      <c r="CG97" s="233">
        <v>12.586169999999999</v>
      </c>
      <c r="CH97" s="233">
        <v>0</v>
      </c>
      <c r="CI97" s="233">
        <v>0</v>
      </c>
      <c r="CJ97" s="237">
        <v>0</v>
      </c>
      <c r="CK97" s="177" t="s">
        <v>128</v>
      </c>
      <c r="CL97" s="177" t="s">
        <v>128</v>
      </c>
      <c r="CM97" s="155" t="s">
        <v>109</v>
      </c>
      <c r="CN97" s="229">
        <v>1</v>
      </c>
      <c r="CO97" s="229">
        <v>0</v>
      </c>
      <c r="CP97" t="s">
        <v>480</v>
      </c>
      <c r="CR97" s="248"/>
    </row>
    <row r="98" spans="1:96" ht="14.4" x14ac:dyDescent="0.3">
      <c r="A98">
        <v>95</v>
      </c>
      <c r="B98" s="173" t="s">
        <v>859</v>
      </c>
      <c r="C98" s="259"/>
      <c r="D98" s="260"/>
      <c r="E98" t="s">
        <v>329</v>
      </c>
      <c r="F98" t="s">
        <v>860</v>
      </c>
      <c r="G98" s="177" t="s">
        <v>111</v>
      </c>
      <c r="H98" s="177" t="s">
        <v>113</v>
      </c>
      <c r="I98" s="177" t="s">
        <v>112</v>
      </c>
      <c r="J98" s="177" t="s">
        <v>109</v>
      </c>
      <c r="K98" s="177" t="s">
        <v>114</v>
      </c>
      <c r="L98" s="177" t="s">
        <v>193</v>
      </c>
      <c r="M98" s="177" t="s">
        <v>109</v>
      </c>
      <c r="N98" s="177" t="s">
        <v>109</v>
      </c>
      <c r="O98" s="180">
        <v>45758</v>
      </c>
      <c r="P98" s="177" t="s">
        <v>109</v>
      </c>
      <c r="Q98" s="177" t="s">
        <v>109</v>
      </c>
      <c r="R98" s="177" t="s">
        <v>109</v>
      </c>
      <c r="S98" s="177" t="s">
        <v>109</v>
      </c>
      <c r="T98" s="177" t="s">
        <v>116</v>
      </c>
      <c r="U98" s="177" t="s">
        <v>117</v>
      </c>
      <c r="V98" s="177" t="b">
        <v>0</v>
      </c>
      <c r="W98" s="177" t="s">
        <v>109</v>
      </c>
      <c r="X98" s="261"/>
      <c r="Y98" s="177" t="s">
        <v>118</v>
      </c>
      <c r="Z98" s="176">
        <v>2.78</v>
      </c>
      <c r="AA98" s="177" t="s">
        <v>861</v>
      </c>
      <c r="AB98" s="177" t="s">
        <v>434</v>
      </c>
      <c r="AC98" s="177">
        <v>4.3</v>
      </c>
      <c r="AD98" s="177" t="s">
        <v>862</v>
      </c>
      <c r="AE98" s="177" t="s">
        <v>841</v>
      </c>
      <c r="AF98" s="177">
        <v>1</v>
      </c>
      <c r="AG98" s="177">
        <v>12132</v>
      </c>
      <c r="AH98" s="177" t="s">
        <v>121</v>
      </c>
      <c r="AI98" s="177" t="b">
        <v>1</v>
      </c>
      <c r="AJ98" s="180">
        <v>44907</v>
      </c>
      <c r="AK98" s="177" t="s">
        <v>122</v>
      </c>
      <c r="AL98" s="177" t="s">
        <v>109</v>
      </c>
      <c r="AM98" s="177" t="s">
        <v>109</v>
      </c>
      <c r="AN98" s="179" t="b">
        <v>0</v>
      </c>
      <c r="AO98" s="177" t="s">
        <v>109</v>
      </c>
      <c r="AP98" s="177" t="s">
        <v>109</v>
      </c>
      <c r="AQ98" s="177" t="s">
        <v>109</v>
      </c>
      <c r="AR98" s="177" t="b">
        <v>0</v>
      </c>
      <c r="AS98" s="177" t="s">
        <v>123</v>
      </c>
      <c r="AT98" s="180" t="s">
        <v>109</v>
      </c>
      <c r="AU98" s="177" t="s">
        <v>124</v>
      </c>
      <c r="AV98" s="177" t="s">
        <v>109</v>
      </c>
      <c r="AW98" s="177" t="s">
        <v>195</v>
      </c>
      <c r="AX98" s="177" t="s">
        <v>109</v>
      </c>
      <c r="AY98" s="177" t="s">
        <v>135</v>
      </c>
      <c r="AZ98" s="177" t="s">
        <v>109</v>
      </c>
      <c r="BA98" s="177" t="s">
        <v>218</v>
      </c>
      <c r="BB98" s="177" t="s">
        <v>109</v>
      </c>
      <c r="BC98" s="177" t="s">
        <v>863</v>
      </c>
      <c r="BD98" s="177" t="s">
        <v>109</v>
      </c>
      <c r="BE98" s="181" t="s">
        <v>864</v>
      </c>
      <c r="BF98" s="180" t="s">
        <v>109</v>
      </c>
      <c r="BG98" s="180" t="s">
        <v>865</v>
      </c>
      <c r="BH98" s="177" t="s">
        <v>109</v>
      </c>
      <c r="BI98" s="177" t="s">
        <v>109</v>
      </c>
      <c r="BJ98" s="177" t="b">
        <v>1</v>
      </c>
      <c r="BK98" s="233">
        <v>949.54006000000004</v>
      </c>
      <c r="BL98" s="234" t="s">
        <v>128</v>
      </c>
      <c r="BM98" s="236">
        <v>1150.4596376080899</v>
      </c>
      <c r="BN98" s="236">
        <v>0</v>
      </c>
      <c r="BO98" s="236">
        <v>0</v>
      </c>
      <c r="BP98" s="236">
        <v>0</v>
      </c>
      <c r="BQ98" s="236">
        <v>0</v>
      </c>
      <c r="BR98" s="236">
        <v>251.40754999999999</v>
      </c>
      <c r="BS98" s="236">
        <v>196.27376000000001</v>
      </c>
      <c r="BT98" s="236">
        <v>169.759533</v>
      </c>
      <c r="BU98" s="236">
        <v>533.01879459999998</v>
      </c>
      <c r="BV98" s="236">
        <v>0</v>
      </c>
      <c r="BW98" s="236">
        <v>0</v>
      </c>
      <c r="BX98" s="236">
        <v>0</v>
      </c>
      <c r="BY98" s="234">
        <v>448</v>
      </c>
      <c r="BZ98" s="236" t="s">
        <v>109</v>
      </c>
      <c r="CA98" s="236" t="s">
        <v>109</v>
      </c>
      <c r="CB98" s="236">
        <v>2025</v>
      </c>
      <c r="CC98" s="236">
        <v>0</v>
      </c>
      <c r="CD98" s="236">
        <v>0</v>
      </c>
      <c r="CE98" s="236">
        <v>0</v>
      </c>
      <c r="CF98" s="236">
        <v>0</v>
      </c>
      <c r="CG98" s="236">
        <v>0</v>
      </c>
      <c r="CH98" s="236">
        <v>0</v>
      </c>
      <c r="CI98" s="236">
        <v>617.44084299999997</v>
      </c>
      <c r="CJ98" s="237">
        <v>0</v>
      </c>
      <c r="CK98" s="177" t="s">
        <v>128</v>
      </c>
      <c r="CL98" s="177" t="s">
        <v>128</v>
      </c>
      <c r="CM98" s="155" t="s">
        <v>109</v>
      </c>
      <c r="CN98" s="229">
        <v>1</v>
      </c>
      <c r="CO98" s="229">
        <v>0</v>
      </c>
      <c r="CP98" t="s">
        <v>480</v>
      </c>
      <c r="CR98" s="248"/>
    </row>
    <row r="99" spans="1:96" ht="14.4" x14ac:dyDescent="0.3">
      <c r="A99">
        <v>96</v>
      </c>
      <c r="B99" s="173" t="s">
        <v>867</v>
      </c>
      <c r="C99" s="259"/>
      <c r="D99" s="260"/>
      <c r="E99" t="s">
        <v>329</v>
      </c>
      <c r="F99" t="s">
        <v>868</v>
      </c>
      <c r="G99" s="177" t="s">
        <v>661</v>
      </c>
      <c r="H99" s="177" t="s">
        <v>146</v>
      </c>
      <c r="I99" s="177" t="s">
        <v>113</v>
      </c>
      <c r="J99" s="177" t="s">
        <v>109</v>
      </c>
      <c r="K99" s="177" t="s">
        <v>662</v>
      </c>
      <c r="L99" s="177" t="s">
        <v>869</v>
      </c>
      <c r="M99" s="177" t="s">
        <v>109</v>
      </c>
      <c r="N99" s="177" t="s">
        <v>109</v>
      </c>
      <c r="O99" s="180">
        <v>45682</v>
      </c>
      <c r="P99" s="177" t="s">
        <v>870</v>
      </c>
      <c r="Q99" s="177" t="s">
        <v>109</v>
      </c>
      <c r="R99" s="177" t="s">
        <v>109</v>
      </c>
      <c r="S99" s="177" t="s">
        <v>109</v>
      </c>
      <c r="T99" s="177" t="s">
        <v>404</v>
      </c>
      <c r="U99" s="177" t="s">
        <v>117</v>
      </c>
      <c r="V99" s="177" t="b">
        <v>0</v>
      </c>
      <c r="W99" s="177" t="s">
        <v>109</v>
      </c>
      <c r="X99" s="261"/>
      <c r="Y99" s="177">
        <v>8.1767050000000001</v>
      </c>
      <c r="Z99" s="177" t="s">
        <v>118</v>
      </c>
      <c r="AA99" s="177">
        <v>69</v>
      </c>
      <c r="AB99" s="177" t="s">
        <v>109</v>
      </c>
      <c r="AC99" s="177">
        <v>1.2</v>
      </c>
      <c r="AD99" s="177" t="s">
        <v>871</v>
      </c>
      <c r="AE99" s="177" t="s">
        <v>872</v>
      </c>
      <c r="AF99" s="177">
        <v>1</v>
      </c>
      <c r="AG99" s="177">
        <v>12136</v>
      </c>
      <c r="AH99" s="177" t="s">
        <v>121</v>
      </c>
      <c r="AI99" s="177" t="b">
        <v>1</v>
      </c>
      <c r="AJ99" s="180">
        <v>45187</v>
      </c>
      <c r="AK99" s="177" t="s">
        <v>122</v>
      </c>
      <c r="AL99" s="177">
        <v>2015</v>
      </c>
      <c r="AM99" s="177" t="s">
        <v>109</v>
      </c>
      <c r="AN99" s="177" t="b">
        <v>0</v>
      </c>
      <c r="AO99" s="177" t="s">
        <v>109</v>
      </c>
      <c r="AP99" s="177" t="s">
        <v>109</v>
      </c>
      <c r="AQ99" s="177" t="s">
        <v>118</v>
      </c>
      <c r="AR99" s="177" t="b">
        <v>0</v>
      </c>
      <c r="AS99" s="177" t="s">
        <v>123</v>
      </c>
      <c r="AT99" s="180" t="s">
        <v>123</v>
      </c>
      <c r="AU99" s="177" t="s">
        <v>124</v>
      </c>
      <c r="AV99" s="177" t="s">
        <v>109</v>
      </c>
      <c r="AW99" s="177" t="s">
        <v>226</v>
      </c>
      <c r="AX99" s="177" t="s">
        <v>118</v>
      </c>
      <c r="AY99" s="177" t="s">
        <v>135</v>
      </c>
      <c r="AZ99" s="177" t="s">
        <v>109</v>
      </c>
      <c r="BA99" s="177" t="s">
        <v>125</v>
      </c>
      <c r="BB99" s="177" t="s">
        <v>109</v>
      </c>
      <c r="BC99" s="177" t="s">
        <v>126</v>
      </c>
      <c r="BD99" s="177" t="s">
        <v>109</v>
      </c>
      <c r="BE99" s="180" t="s">
        <v>873</v>
      </c>
      <c r="BF99" s="180" t="s">
        <v>874</v>
      </c>
      <c r="BG99" s="180" t="s">
        <v>875</v>
      </c>
      <c r="BH99" s="177" t="s">
        <v>109</v>
      </c>
      <c r="BI99" s="177" t="s">
        <v>109</v>
      </c>
      <c r="BJ99" s="177" t="b">
        <v>1</v>
      </c>
      <c r="BK99" s="233">
        <v>241.51248000000001</v>
      </c>
      <c r="BL99" s="234" t="s">
        <v>128</v>
      </c>
      <c r="BM99" s="254">
        <v>12746.576999999999</v>
      </c>
      <c r="BN99" s="254">
        <v>506.73977020000001</v>
      </c>
      <c r="BO99" s="254">
        <v>874.91642559999991</v>
      </c>
      <c r="BP99" s="254">
        <v>2296.9075395</v>
      </c>
      <c r="BQ99" s="254">
        <v>7361.9751330000008</v>
      </c>
      <c r="BR99" s="254">
        <v>894.45129999999995</v>
      </c>
      <c r="BS99" s="254">
        <v>37.142381999999998</v>
      </c>
      <c r="BT99" s="254">
        <v>0</v>
      </c>
      <c r="BU99" s="254">
        <v>0</v>
      </c>
      <c r="BV99" s="254">
        <v>0</v>
      </c>
      <c r="BW99" s="254">
        <v>0</v>
      </c>
      <c r="BX99" s="254">
        <v>0</v>
      </c>
      <c r="BY99" s="255">
        <v>0</v>
      </c>
      <c r="BZ99" s="236" t="s">
        <v>109</v>
      </c>
      <c r="CA99" s="236" t="s">
        <v>109</v>
      </c>
      <c r="CB99" s="256" t="s">
        <v>139</v>
      </c>
      <c r="CC99" s="254">
        <v>0</v>
      </c>
      <c r="CD99" s="254">
        <v>0</v>
      </c>
      <c r="CE99" s="254">
        <v>53.9001296</v>
      </c>
      <c r="CF99" s="254">
        <v>1.4450444</v>
      </c>
      <c r="CG99" s="254">
        <v>12654.0898987</v>
      </c>
      <c r="CH99" s="254">
        <v>37.142381999999998</v>
      </c>
      <c r="CI99" s="254">
        <v>0</v>
      </c>
      <c r="CJ99" s="237">
        <v>0</v>
      </c>
      <c r="CK99" s="177" t="s">
        <v>128</v>
      </c>
      <c r="CL99" s="177" t="s">
        <v>128</v>
      </c>
      <c r="CM99" s="155" t="s">
        <v>109</v>
      </c>
      <c r="CN99" s="229">
        <v>0</v>
      </c>
      <c r="CO99" s="229">
        <v>1</v>
      </c>
      <c r="CP99" t="s">
        <v>155</v>
      </c>
      <c r="CR99" s="248"/>
    </row>
    <row r="100" spans="1:96" ht="14.4" x14ac:dyDescent="0.3">
      <c r="A100">
        <v>97</v>
      </c>
      <c r="B100" s="173" t="s">
        <v>877</v>
      </c>
      <c r="C100" s="259"/>
      <c r="D100" s="260"/>
      <c r="E100" t="s">
        <v>329</v>
      </c>
      <c r="F100" t="s">
        <v>878</v>
      </c>
      <c r="G100" s="177" t="s">
        <v>688</v>
      </c>
      <c r="H100" s="177" t="s">
        <v>146</v>
      </c>
      <c r="I100" s="177" t="s">
        <v>109</v>
      </c>
      <c r="J100" s="177" t="s">
        <v>109</v>
      </c>
      <c r="K100" s="177" t="s">
        <v>662</v>
      </c>
      <c r="L100" s="177" t="s">
        <v>663</v>
      </c>
      <c r="M100" s="177" t="s">
        <v>109</v>
      </c>
      <c r="N100" s="177" t="s">
        <v>109</v>
      </c>
      <c r="O100" s="180">
        <v>45664</v>
      </c>
      <c r="P100" s="177" t="s">
        <v>676</v>
      </c>
      <c r="Q100" s="177" t="s">
        <v>109</v>
      </c>
      <c r="R100" s="177" t="s">
        <v>109</v>
      </c>
      <c r="S100" s="177" t="s">
        <v>109</v>
      </c>
      <c r="T100" s="177" t="s">
        <v>404</v>
      </c>
      <c r="U100" s="177" t="s">
        <v>117</v>
      </c>
      <c r="V100" s="177" t="b">
        <v>0</v>
      </c>
      <c r="W100" s="177" t="s">
        <v>109</v>
      </c>
      <c r="X100" s="261"/>
      <c r="Y100" s="177">
        <v>4.7678630000000002</v>
      </c>
      <c r="Z100" s="177" t="s">
        <v>118</v>
      </c>
      <c r="AA100" s="177">
        <v>69</v>
      </c>
      <c r="AB100" s="177" t="s">
        <v>109</v>
      </c>
      <c r="AC100" s="177">
        <v>1.2</v>
      </c>
      <c r="AD100" s="177" t="s">
        <v>879</v>
      </c>
      <c r="AE100" s="177" t="s">
        <v>880</v>
      </c>
      <c r="AF100" s="177">
        <v>1</v>
      </c>
      <c r="AG100" s="177">
        <v>12137</v>
      </c>
      <c r="AH100" s="177" t="s">
        <v>121</v>
      </c>
      <c r="AI100" s="177" t="b">
        <v>1</v>
      </c>
      <c r="AJ100" s="180">
        <v>45129</v>
      </c>
      <c r="AK100" s="177" t="s">
        <v>122</v>
      </c>
      <c r="AL100" s="177">
        <v>2015</v>
      </c>
      <c r="AM100" s="177" t="s">
        <v>109</v>
      </c>
      <c r="AN100" s="177" t="b">
        <v>0</v>
      </c>
      <c r="AO100" s="177" t="s">
        <v>109</v>
      </c>
      <c r="AP100" s="177" t="s">
        <v>109</v>
      </c>
      <c r="AQ100" s="177" t="s">
        <v>118</v>
      </c>
      <c r="AR100" s="177" t="b">
        <v>0</v>
      </c>
      <c r="AS100" s="177" t="s">
        <v>123</v>
      </c>
      <c r="AT100" s="180" t="s">
        <v>123</v>
      </c>
      <c r="AU100" s="177" t="s">
        <v>124</v>
      </c>
      <c r="AV100" s="177" t="s">
        <v>109</v>
      </c>
      <c r="AW100" s="177" t="s">
        <v>118</v>
      </c>
      <c r="AX100" s="177" t="s">
        <v>109</v>
      </c>
      <c r="AY100" s="177" t="s">
        <v>135</v>
      </c>
      <c r="AZ100" s="177" t="s">
        <v>109</v>
      </c>
      <c r="BA100" s="177" t="s">
        <v>494</v>
      </c>
      <c r="BB100" s="177">
        <v>2021</v>
      </c>
      <c r="BC100" s="177" t="s">
        <v>126</v>
      </c>
      <c r="BD100" s="177" t="s">
        <v>109</v>
      </c>
      <c r="BE100" s="180" t="s">
        <v>881</v>
      </c>
      <c r="BF100" s="180" t="s">
        <v>882</v>
      </c>
      <c r="BG100" s="180" t="s">
        <v>883</v>
      </c>
      <c r="BH100" s="177" t="s">
        <v>109</v>
      </c>
      <c r="BI100" s="177" t="s">
        <v>109</v>
      </c>
      <c r="BJ100" s="177" t="b">
        <v>0</v>
      </c>
      <c r="BK100" s="233">
        <v>104.02819</v>
      </c>
      <c r="BL100" s="234" t="s">
        <v>128</v>
      </c>
      <c r="BM100" s="254">
        <v>14675.1</v>
      </c>
      <c r="BN100" s="254">
        <v>427.3277827</v>
      </c>
      <c r="BO100" s="254">
        <v>1495.1293883999999</v>
      </c>
      <c r="BP100" s="254">
        <v>11255.331364700001</v>
      </c>
      <c r="BQ100" s="254">
        <v>221.36957459999999</v>
      </c>
      <c r="BR100" s="254">
        <v>64.184936000000008</v>
      </c>
      <c r="BS100" s="254">
        <v>0</v>
      </c>
      <c r="BT100" s="254">
        <v>0</v>
      </c>
      <c r="BU100" s="254">
        <v>0</v>
      </c>
      <c r="BV100" s="254">
        <v>0</v>
      </c>
      <c r="BW100" s="254">
        <v>0</v>
      </c>
      <c r="BX100" s="254">
        <v>0</v>
      </c>
      <c r="BY100" s="255">
        <v>0</v>
      </c>
      <c r="BZ100" s="236" t="s">
        <v>109</v>
      </c>
      <c r="CA100" s="236" t="s">
        <v>109</v>
      </c>
      <c r="CB100" s="236" t="s">
        <v>270</v>
      </c>
      <c r="CC100" s="254">
        <v>0</v>
      </c>
      <c r="CD100" s="254">
        <v>0</v>
      </c>
      <c r="CE100" s="254">
        <v>14371.4153148</v>
      </c>
      <c r="CF100" s="254">
        <v>239.49941380000001</v>
      </c>
      <c r="CG100" s="254">
        <v>64.184936000000008</v>
      </c>
      <c r="CH100" s="254">
        <v>0</v>
      </c>
      <c r="CI100" s="254">
        <v>0</v>
      </c>
      <c r="CJ100" s="237">
        <v>0</v>
      </c>
      <c r="CK100" s="177" t="s">
        <v>128</v>
      </c>
      <c r="CL100" s="177" t="s">
        <v>128</v>
      </c>
      <c r="CM100" s="155" t="s">
        <v>109</v>
      </c>
      <c r="CN100" s="229">
        <v>0</v>
      </c>
      <c r="CO100" s="229">
        <v>1</v>
      </c>
      <c r="CP100" t="s">
        <v>155</v>
      </c>
      <c r="CR100" s="248"/>
    </row>
    <row r="101" spans="1:96" ht="14.4" x14ac:dyDescent="0.3">
      <c r="A101">
        <v>98</v>
      </c>
      <c r="B101" s="173" t="s">
        <v>884</v>
      </c>
      <c r="C101" s="259"/>
      <c r="D101" s="260"/>
      <c r="E101" t="s">
        <v>329</v>
      </c>
      <c r="F101" t="s">
        <v>885</v>
      </c>
      <c r="G101" s="177" t="s">
        <v>886</v>
      </c>
      <c r="H101" s="177" t="s">
        <v>113</v>
      </c>
      <c r="I101" s="177" t="s">
        <v>109</v>
      </c>
      <c r="J101" s="177" t="s">
        <v>109</v>
      </c>
      <c r="K101" s="177" t="s">
        <v>114</v>
      </c>
      <c r="L101" s="177" t="s">
        <v>251</v>
      </c>
      <c r="M101" s="177" t="s">
        <v>109</v>
      </c>
      <c r="N101" s="177" t="s">
        <v>109</v>
      </c>
      <c r="O101" s="180">
        <v>44666</v>
      </c>
      <c r="P101" s="177" t="s">
        <v>109</v>
      </c>
      <c r="Q101" s="177" t="s">
        <v>109</v>
      </c>
      <c r="R101" s="177" t="s">
        <v>109</v>
      </c>
      <c r="S101" s="177" t="s">
        <v>109</v>
      </c>
      <c r="T101" s="177" t="s">
        <v>116</v>
      </c>
      <c r="U101" s="177" t="s">
        <v>117</v>
      </c>
      <c r="V101" s="177" t="b">
        <v>0</v>
      </c>
      <c r="W101" s="177" t="s">
        <v>109</v>
      </c>
      <c r="X101" s="261"/>
      <c r="Y101" s="177">
        <v>4</v>
      </c>
      <c r="Z101" s="177" t="s">
        <v>118</v>
      </c>
      <c r="AA101" s="177">
        <v>69</v>
      </c>
      <c r="AB101" s="177" t="s">
        <v>109</v>
      </c>
      <c r="AC101" s="177">
        <v>4.0999999999999996</v>
      </c>
      <c r="AD101" s="177" t="s">
        <v>887</v>
      </c>
      <c r="AE101" s="177" t="s">
        <v>888</v>
      </c>
      <c r="AF101" s="177">
        <v>1</v>
      </c>
      <c r="AG101" s="177">
        <v>12138</v>
      </c>
      <c r="AH101" s="177" t="s">
        <v>121</v>
      </c>
      <c r="AI101" s="177" t="b">
        <v>1</v>
      </c>
      <c r="AJ101" s="180">
        <v>45476</v>
      </c>
      <c r="AK101" s="177" t="s">
        <v>122</v>
      </c>
      <c r="AL101" s="177">
        <v>2012</v>
      </c>
      <c r="AM101" s="177" t="s">
        <v>109</v>
      </c>
      <c r="AN101" s="177" t="b">
        <v>0</v>
      </c>
      <c r="AO101" s="177" t="s">
        <v>109</v>
      </c>
      <c r="AP101" s="177" t="s">
        <v>109</v>
      </c>
      <c r="AQ101" s="177" t="s">
        <v>118</v>
      </c>
      <c r="AR101" s="177" t="b">
        <v>0</v>
      </c>
      <c r="AS101" s="177" t="s">
        <v>123</v>
      </c>
      <c r="AT101" s="180" t="s">
        <v>123</v>
      </c>
      <c r="AU101" s="177" t="s">
        <v>124</v>
      </c>
      <c r="AV101" s="177" t="s">
        <v>109</v>
      </c>
      <c r="AW101" s="177" t="s">
        <v>109</v>
      </c>
      <c r="AX101" s="177" t="s">
        <v>118</v>
      </c>
      <c r="AY101" s="177" t="s">
        <v>135</v>
      </c>
      <c r="AZ101" s="177" t="s">
        <v>889</v>
      </c>
      <c r="BA101" s="177" t="s">
        <v>494</v>
      </c>
      <c r="BB101" s="177">
        <v>2024</v>
      </c>
      <c r="BC101" s="177" t="s">
        <v>863</v>
      </c>
      <c r="BD101" s="177" t="s">
        <v>109</v>
      </c>
      <c r="BE101" s="180" t="s">
        <v>890</v>
      </c>
      <c r="BF101" s="180" t="s">
        <v>891</v>
      </c>
      <c r="BG101" s="180" t="s">
        <v>892</v>
      </c>
      <c r="BH101" s="177" t="s">
        <v>699</v>
      </c>
      <c r="BI101" s="177" t="s">
        <v>893</v>
      </c>
      <c r="BJ101" s="177" t="b">
        <v>0</v>
      </c>
      <c r="BK101" s="233">
        <v>46528</v>
      </c>
      <c r="BL101" s="234" t="s">
        <v>128</v>
      </c>
      <c r="BM101" s="254">
        <v>88292.985000000001</v>
      </c>
      <c r="BN101" s="254">
        <v>1067.21605</v>
      </c>
      <c r="BO101" s="254">
        <v>13695.324329999999</v>
      </c>
      <c r="BP101" s="254">
        <v>2707.0372299999995</v>
      </c>
      <c r="BQ101" s="254">
        <v>4920.9315800000004</v>
      </c>
      <c r="BR101" s="254">
        <v>13359.780879999998</v>
      </c>
      <c r="BS101" s="254">
        <v>10848.074350000001</v>
      </c>
      <c r="BT101" s="254">
        <v>23597.6237984</v>
      </c>
      <c r="BU101" s="254">
        <v>10952.5716689</v>
      </c>
      <c r="BV101" s="254">
        <v>0</v>
      </c>
      <c r="BW101" s="254">
        <v>0</v>
      </c>
      <c r="BX101" s="254">
        <v>0</v>
      </c>
      <c r="BY101" s="255">
        <v>53742.788999999997</v>
      </c>
      <c r="BZ101" s="236" t="s">
        <v>109</v>
      </c>
      <c r="CA101" s="236" t="s">
        <v>109</v>
      </c>
      <c r="CB101" s="236" t="s">
        <v>109</v>
      </c>
      <c r="CC101" s="254">
        <v>0</v>
      </c>
      <c r="CD101" s="254">
        <v>0</v>
      </c>
      <c r="CE101" s="254">
        <v>0</v>
      </c>
      <c r="CF101" s="254">
        <v>0</v>
      </c>
      <c r="CG101" s="254">
        <v>0</v>
      </c>
      <c r="CH101" s="254">
        <v>0</v>
      </c>
      <c r="CI101" s="254">
        <v>0</v>
      </c>
      <c r="CJ101" s="237">
        <v>0</v>
      </c>
      <c r="CK101" s="177" t="s">
        <v>128</v>
      </c>
      <c r="CL101" s="177">
        <v>3.5</v>
      </c>
      <c r="CM101" s="155" t="s">
        <v>109</v>
      </c>
      <c r="CN101" s="229">
        <v>0</v>
      </c>
      <c r="CO101" s="229">
        <v>1</v>
      </c>
      <c r="CP101" t="s">
        <v>155</v>
      </c>
      <c r="CR101" s="248"/>
    </row>
    <row r="102" spans="1:96" ht="14.4" x14ac:dyDescent="0.3">
      <c r="A102">
        <v>99</v>
      </c>
      <c r="B102" s="173" t="s">
        <v>894</v>
      </c>
      <c r="C102" s="259"/>
      <c r="D102" s="260"/>
      <c r="E102" t="s">
        <v>329</v>
      </c>
      <c r="F102" t="s">
        <v>895</v>
      </c>
      <c r="G102" s="177" t="s">
        <v>811</v>
      </c>
      <c r="H102" s="177" t="s">
        <v>113</v>
      </c>
      <c r="I102" s="177" t="s">
        <v>109</v>
      </c>
      <c r="J102" s="177" t="s">
        <v>109</v>
      </c>
      <c r="K102" s="177" t="s">
        <v>485</v>
      </c>
      <c r="L102" s="177" t="s">
        <v>896</v>
      </c>
      <c r="M102" s="177" t="s">
        <v>109</v>
      </c>
      <c r="N102" s="177" t="s">
        <v>109</v>
      </c>
      <c r="O102" s="180">
        <v>45674</v>
      </c>
      <c r="P102" s="177" t="s">
        <v>775</v>
      </c>
      <c r="Q102" s="177" t="s">
        <v>508</v>
      </c>
      <c r="R102" s="177" t="s">
        <v>509</v>
      </c>
      <c r="S102" s="177" t="s">
        <v>109</v>
      </c>
      <c r="T102" s="177" t="s">
        <v>404</v>
      </c>
      <c r="U102" s="177" t="s">
        <v>117</v>
      </c>
      <c r="V102" s="177" t="b">
        <v>0</v>
      </c>
      <c r="W102" s="177" t="s">
        <v>109</v>
      </c>
      <c r="X102" s="261"/>
      <c r="Y102" s="177">
        <v>2.88</v>
      </c>
      <c r="Z102" s="177" t="s">
        <v>118</v>
      </c>
      <c r="AA102" s="177">
        <v>69</v>
      </c>
      <c r="AB102" s="177" t="s">
        <v>109</v>
      </c>
      <c r="AC102" s="177">
        <v>2.1</v>
      </c>
      <c r="AD102" s="177" t="s">
        <v>897</v>
      </c>
      <c r="AE102" s="177" t="s">
        <v>898</v>
      </c>
      <c r="AF102" s="177">
        <v>1</v>
      </c>
      <c r="AG102" s="177">
        <v>12139</v>
      </c>
      <c r="AH102" s="177" t="s">
        <v>121</v>
      </c>
      <c r="AI102" s="177" t="b">
        <v>0</v>
      </c>
      <c r="AJ102" s="180" t="s">
        <v>109</v>
      </c>
      <c r="AK102" s="177" t="s">
        <v>122</v>
      </c>
      <c r="AL102" s="177">
        <v>2012</v>
      </c>
      <c r="AM102" s="177">
        <v>2012</v>
      </c>
      <c r="AN102" s="177" t="b">
        <v>0</v>
      </c>
      <c r="AO102" s="177" t="s">
        <v>899</v>
      </c>
      <c r="AP102" s="177" t="s">
        <v>109</v>
      </c>
      <c r="AQ102" s="177" t="s">
        <v>795</v>
      </c>
      <c r="AR102" s="177" t="b">
        <v>0</v>
      </c>
      <c r="AS102" s="177" t="s">
        <v>123</v>
      </c>
      <c r="AT102" s="180" t="s">
        <v>123</v>
      </c>
      <c r="AU102" s="177" t="s">
        <v>124</v>
      </c>
      <c r="AV102" s="177" t="s">
        <v>109</v>
      </c>
      <c r="AW102" s="177" t="s">
        <v>226</v>
      </c>
      <c r="AX102" s="177" t="s">
        <v>118</v>
      </c>
      <c r="AY102" s="177" t="s">
        <v>666</v>
      </c>
      <c r="AZ102" s="177" t="s">
        <v>279</v>
      </c>
      <c r="BA102" s="177" t="s">
        <v>494</v>
      </c>
      <c r="BB102" s="177">
        <v>2017</v>
      </c>
      <c r="BC102" s="177" t="s">
        <v>126</v>
      </c>
      <c r="BD102" s="177" t="s">
        <v>109</v>
      </c>
      <c r="BE102" s="180" t="s">
        <v>900</v>
      </c>
      <c r="BF102" s="180" t="s">
        <v>712</v>
      </c>
      <c r="BG102" s="180" t="s">
        <v>901</v>
      </c>
      <c r="BH102" s="177" t="s">
        <v>699</v>
      </c>
      <c r="BI102" s="177" t="s">
        <v>893</v>
      </c>
      <c r="BJ102" s="177" t="b">
        <v>0</v>
      </c>
      <c r="BK102" s="233">
        <v>46190.46</v>
      </c>
      <c r="BL102" s="234" t="s">
        <v>128</v>
      </c>
      <c r="BM102" s="254">
        <v>48612.942000000003</v>
      </c>
      <c r="BN102" s="254">
        <v>1102.6842223000001</v>
      </c>
      <c r="BO102" s="254">
        <v>67.122246799999999</v>
      </c>
      <c r="BP102" s="254">
        <v>0</v>
      </c>
      <c r="BQ102" s="254">
        <v>0</v>
      </c>
      <c r="BR102" s="254">
        <v>0</v>
      </c>
      <c r="BS102" s="254">
        <v>0</v>
      </c>
      <c r="BT102" s="254">
        <v>0</v>
      </c>
      <c r="BU102" s="254">
        <v>0</v>
      </c>
      <c r="BV102" s="254">
        <v>0</v>
      </c>
      <c r="BW102" s="254">
        <v>0</v>
      </c>
      <c r="BX102" s="254">
        <v>0</v>
      </c>
      <c r="BY102" s="255">
        <v>0</v>
      </c>
      <c r="BZ102" s="236" t="s">
        <v>109</v>
      </c>
      <c r="CA102" s="236" t="s">
        <v>109</v>
      </c>
      <c r="CB102" s="236" t="s">
        <v>189</v>
      </c>
      <c r="CC102" s="254">
        <v>48545.819439099992</v>
      </c>
      <c r="CD102" s="254">
        <v>67.122246799999999</v>
      </c>
      <c r="CE102" s="254">
        <v>0</v>
      </c>
      <c r="CF102" s="254">
        <v>0</v>
      </c>
      <c r="CG102" s="254">
        <v>0</v>
      </c>
      <c r="CH102" s="254">
        <v>0</v>
      </c>
      <c r="CI102" s="254">
        <v>0</v>
      </c>
      <c r="CJ102" s="237">
        <v>0</v>
      </c>
      <c r="CK102" s="177" t="s">
        <v>128</v>
      </c>
      <c r="CL102" s="177" t="s">
        <v>128</v>
      </c>
      <c r="CM102" s="155" t="s">
        <v>109</v>
      </c>
      <c r="CN102" s="229">
        <v>0</v>
      </c>
      <c r="CO102" s="229">
        <v>1</v>
      </c>
      <c r="CP102" t="s">
        <v>155</v>
      </c>
      <c r="CR102" s="248"/>
    </row>
    <row r="103" spans="1:96" ht="14.4" x14ac:dyDescent="0.3">
      <c r="A103">
        <v>100</v>
      </c>
      <c r="B103" s="173" t="s">
        <v>903</v>
      </c>
      <c r="C103" s="259"/>
      <c r="D103" s="260"/>
      <c r="E103" t="s">
        <v>318</v>
      </c>
      <c r="F103" t="s">
        <v>903</v>
      </c>
      <c r="G103" s="177" t="s">
        <v>661</v>
      </c>
      <c r="H103" s="177" t="s">
        <v>112</v>
      </c>
      <c r="I103" s="177" t="s">
        <v>112</v>
      </c>
      <c r="J103" s="177" t="s">
        <v>109</v>
      </c>
      <c r="K103" s="177" t="s">
        <v>485</v>
      </c>
      <c r="L103" s="177" t="s">
        <v>904</v>
      </c>
      <c r="M103" s="177" t="s">
        <v>109</v>
      </c>
      <c r="N103" s="177" t="s">
        <v>109</v>
      </c>
      <c r="O103" s="180" t="s">
        <v>905</v>
      </c>
      <c r="P103" s="177" t="s">
        <v>109</v>
      </c>
      <c r="Q103" s="177" t="s">
        <v>109</v>
      </c>
      <c r="R103" s="177" t="s">
        <v>109</v>
      </c>
      <c r="S103" s="177" t="s">
        <v>109</v>
      </c>
      <c r="T103" s="177" t="s">
        <v>109</v>
      </c>
      <c r="U103" s="177" t="s">
        <v>117</v>
      </c>
      <c r="V103" s="177" t="b">
        <v>0</v>
      </c>
      <c r="W103" s="177" t="s">
        <v>123</v>
      </c>
      <c r="X103" s="261"/>
      <c r="Y103" s="177" t="s">
        <v>109</v>
      </c>
      <c r="Z103" s="176">
        <v>72.12</v>
      </c>
      <c r="AA103" s="177" t="s">
        <v>304</v>
      </c>
      <c r="AB103" s="177" t="s">
        <v>109</v>
      </c>
      <c r="AC103" s="177">
        <v>2.1</v>
      </c>
      <c r="AD103" s="177" t="s">
        <v>109</v>
      </c>
      <c r="AE103" s="177" t="s">
        <v>906</v>
      </c>
      <c r="AF103" s="177">
        <v>1</v>
      </c>
      <c r="AG103" s="177">
        <v>12140</v>
      </c>
      <c r="AH103" s="177" t="s">
        <v>121</v>
      </c>
      <c r="AI103" s="177" t="b">
        <v>1</v>
      </c>
      <c r="AJ103" s="180">
        <v>45450</v>
      </c>
      <c r="AK103" s="177" t="s">
        <v>122</v>
      </c>
      <c r="AL103" s="177">
        <v>2019</v>
      </c>
      <c r="AM103" s="177" t="s">
        <v>109</v>
      </c>
      <c r="AN103" s="177" t="b">
        <v>0</v>
      </c>
      <c r="AO103" s="177" t="s">
        <v>109</v>
      </c>
      <c r="AP103" s="177" t="s">
        <v>109</v>
      </c>
      <c r="AQ103" s="177" t="s">
        <v>109</v>
      </c>
      <c r="AR103" s="177" t="b">
        <v>0</v>
      </c>
      <c r="AS103" s="177" t="s">
        <v>123</v>
      </c>
      <c r="AT103" s="180" t="s">
        <v>123</v>
      </c>
      <c r="AU103" s="177" t="s">
        <v>124</v>
      </c>
      <c r="AV103" s="177" t="s">
        <v>109</v>
      </c>
      <c r="AW103" s="177" t="s">
        <v>226</v>
      </c>
      <c r="AX103" s="177" t="s">
        <v>118</v>
      </c>
      <c r="AY103" s="177" t="s">
        <v>109</v>
      </c>
      <c r="AZ103" s="177" t="s">
        <v>109</v>
      </c>
      <c r="BA103" s="177" t="s">
        <v>494</v>
      </c>
      <c r="BB103" s="177" t="s">
        <v>109</v>
      </c>
      <c r="BC103" s="177" t="s">
        <v>126</v>
      </c>
      <c r="BD103" s="177" t="s">
        <v>109</v>
      </c>
      <c r="BE103" s="180" t="s">
        <v>109</v>
      </c>
      <c r="BF103" s="180" t="s">
        <v>137</v>
      </c>
      <c r="BG103" s="180">
        <v>42824</v>
      </c>
      <c r="BH103" s="177" t="s">
        <v>109</v>
      </c>
      <c r="BI103" s="177" t="s">
        <v>109</v>
      </c>
      <c r="BJ103" s="177" t="b">
        <v>0</v>
      </c>
      <c r="BK103" s="233">
        <v>17134.987000000001</v>
      </c>
      <c r="BL103" s="234" t="s">
        <v>128</v>
      </c>
      <c r="BM103" s="233">
        <v>15035.190569634</v>
      </c>
      <c r="BN103" s="233">
        <v>0</v>
      </c>
      <c r="BO103" s="233">
        <v>0</v>
      </c>
      <c r="BP103" s="233">
        <v>0</v>
      </c>
      <c r="BQ103" s="233">
        <v>0</v>
      </c>
      <c r="BR103" s="233">
        <v>0</v>
      </c>
      <c r="BS103" s="233">
        <v>0</v>
      </c>
      <c r="BT103" s="233">
        <v>0</v>
      </c>
      <c r="BU103" s="233">
        <v>0</v>
      </c>
      <c r="BV103" s="233">
        <v>0</v>
      </c>
      <c r="BW103" s="233">
        <v>0</v>
      </c>
      <c r="BX103" s="233">
        <v>0</v>
      </c>
      <c r="BY103" s="234">
        <v>0</v>
      </c>
      <c r="BZ103" s="236" t="s">
        <v>109</v>
      </c>
      <c r="CA103" s="236" t="s">
        <v>109</v>
      </c>
      <c r="CB103" s="236">
        <v>2020</v>
      </c>
      <c r="CC103" s="233">
        <v>15035.190569599999</v>
      </c>
      <c r="CD103" s="233">
        <v>0</v>
      </c>
      <c r="CE103" s="233">
        <v>0</v>
      </c>
      <c r="CF103" s="233">
        <v>0</v>
      </c>
      <c r="CG103" s="233">
        <v>0</v>
      </c>
      <c r="CH103" s="233">
        <v>0</v>
      </c>
      <c r="CI103" s="233">
        <v>0</v>
      </c>
      <c r="CJ103" s="237">
        <v>0</v>
      </c>
      <c r="CK103" s="177" t="s">
        <v>128</v>
      </c>
      <c r="CL103" s="177" t="s">
        <v>128</v>
      </c>
      <c r="CM103" s="155" t="s">
        <v>109</v>
      </c>
      <c r="CN103" s="229">
        <v>0.13550000000000001</v>
      </c>
      <c r="CO103" s="229">
        <v>0.86450000000000005</v>
      </c>
      <c r="CP103" t="s">
        <v>155</v>
      </c>
      <c r="CR103" s="248"/>
    </row>
    <row r="104" spans="1:96" ht="14.4" x14ac:dyDescent="0.3">
      <c r="A104">
        <v>101</v>
      </c>
      <c r="B104" s="173" t="s">
        <v>907</v>
      </c>
      <c r="C104" s="259"/>
      <c r="D104" s="260"/>
      <c r="E104" t="s">
        <v>329</v>
      </c>
      <c r="F104" t="s">
        <v>908</v>
      </c>
      <c r="G104" s="177" t="s">
        <v>661</v>
      </c>
      <c r="H104" s="177" t="s">
        <v>146</v>
      </c>
      <c r="I104" s="177" t="s">
        <v>113</v>
      </c>
      <c r="J104" s="177" t="s">
        <v>109</v>
      </c>
      <c r="K104" s="177" t="s">
        <v>662</v>
      </c>
      <c r="L104" s="177" t="s">
        <v>869</v>
      </c>
      <c r="M104" s="177" t="s">
        <v>109</v>
      </c>
      <c r="N104" s="177" t="s">
        <v>109</v>
      </c>
      <c r="O104" s="180">
        <v>45682</v>
      </c>
      <c r="P104" s="177" t="s">
        <v>689</v>
      </c>
      <c r="Q104" s="177" t="s">
        <v>109</v>
      </c>
      <c r="R104" s="177" t="s">
        <v>109</v>
      </c>
      <c r="S104" s="177" t="s">
        <v>109</v>
      </c>
      <c r="T104" s="177" t="s">
        <v>404</v>
      </c>
      <c r="U104" s="177" t="s">
        <v>117</v>
      </c>
      <c r="V104" s="177" t="b">
        <v>0</v>
      </c>
      <c r="W104" s="177" t="s">
        <v>109</v>
      </c>
      <c r="X104" s="261"/>
      <c r="Y104" s="177">
        <v>5.8671899999999999</v>
      </c>
      <c r="Z104" s="177" t="s">
        <v>118</v>
      </c>
      <c r="AA104" s="177">
        <v>69</v>
      </c>
      <c r="AB104" s="177" t="s">
        <v>109</v>
      </c>
      <c r="AC104" s="177">
        <v>1.2</v>
      </c>
      <c r="AD104" s="177" t="s">
        <v>909</v>
      </c>
      <c r="AE104" s="177" t="s">
        <v>910</v>
      </c>
      <c r="AF104" s="177">
        <v>1</v>
      </c>
      <c r="AG104" s="177">
        <v>12144</v>
      </c>
      <c r="AH104" s="177" t="s">
        <v>121</v>
      </c>
      <c r="AI104" s="177" t="b">
        <v>1</v>
      </c>
      <c r="AJ104" s="180">
        <v>44700</v>
      </c>
      <c r="AK104" s="177" t="s">
        <v>122</v>
      </c>
      <c r="AL104" s="177">
        <v>2015</v>
      </c>
      <c r="AM104" s="177" t="s">
        <v>109</v>
      </c>
      <c r="AN104" s="177" t="b">
        <v>0</v>
      </c>
      <c r="AO104" s="177" t="s">
        <v>109</v>
      </c>
      <c r="AP104" s="177" t="s">
        <v>109</v>
      </c>
      <c r="AQ104" s="177" t="s">
        <v>118</v>
      </c>
      <c r="AR104" s="177" t="b">
        <v>0</v>
      </c>
      <c r="AS104" s="177" t="s">
        <v>123</v>
      </c>
      <c r="AT104" s="180" t="s">
        <v>123</v>
      </c>
      <c r="AU104" s="177" t="s">
        <v>124</v>
      </c>
      <c r="AV104" s="177" t="s">
        <v>109</v>
      </c>
      <c r="AW104" s="177" t="s">
        <v>226</v>
      </c>
      <c r="AX104" s="177" t="s">
        <v>118</v>
      </c>
      <c r="AY104" s="177" t="s">
        <v>135</v>
      </c>
      <c r="AZ104" s="177" t="s">
        <v>109</v>
      </c>
      <c r="BA104" s="177" t="s">
        <v>125</v>
      </c>
      <c r="BB104" s="177" t="s">
        <v>109</v>
      </c>
      <c r="BC104" s="177" t="s">
        <v>126</v>
      </c>
      <c r="BD104" s="177" t="s">
        <v>109</v>
      </c>
      <c r="BE104" s="180" t="s">
        <v>911</v>
      </c>
      <c r="BF104" s="180" t="s">
        <v>137</v>
      </c>
      <c r="BG104" s="180" t="s">
        <v>912</v>
      </c>
      <c r="BH104" s="177" t="s">
        <v>109</v>
      </c>
      <c r="BI104" s="177" t="s">
        <v>109</v>
      </c>
      <c r="BJ104" s="177" t="b">
        <v>1</v>
      </c>
      <c r="BK104" s="233">
        <v>25131.988150000001</v>
      </c>
      <c r="BL104" s="234" t="s">
        <v>128</v>
      </c>
      <c r="BM104" s="233">
        <v>21557.171812183002</v>
      </c>
      <c r="BN104" s="233">
        <v>1057.9841913</v>
      </c>
      <c r="BO104" s="233">
        <v>2745.5770471999999</v>
      </c>
      <c r="BP104" s="233">
        <v>15752.674534199999</v>
      </c>
      <c r="BQ104" s="233">
        <v>152.84567849999999</v>
      </c>
      <c r="BR104" s="233">
        <v>100.65459</v>
      </c>
      <c r="BS104" s="233">
        <v>36.915371999999998</v>
      </c>
      <c r="BT104" s="233">
        <v>0</v>
      </c>
      <c r="BU104" s="233">
        <v>0</v>
      </c>
      <c r="BV104" s="233">
        <v>0</v>
      </c>
      <c r="BW104" s="233">
        <v>0</v>
      </c>
      <c r="BX104" s="233">
        <v>0</v>
      </c>
      <c r="BY104" s="234">
        <v>0</v>
      </c>
      <c r="BZ104" s="236" t="s">
        <v>109</v>
      </c>
      <c r="CA104" s="236" t="s">
        <v>109</v>
      </c>
      <c r="CB104" s="236" t="s">
        <v>139</v>
      </c>
      <c r="CC104" s="233">
        <v>0</v>
      </c>
      <c r="CD104" s="233">
        <v>0</v>
      </c>
      <c r="CE104" s="233">
        <v>21266.756171699999</v>
      </c>
      <c r="CF104" s="233">
        <v>152.84567849999999</v>
      </c>
      <c r="CG104" s="233">
        <v>100.65459</v>
      </c>
      <c r="CH104" s="233">
        <v>36.915371999999998</v>
      </c>
      <c r="CI104" s="233">
        <v>0</v>
      </c>
      <c r="CJ104" s="237">
        <v>0</v>
      </c>
      <c r="CK104" s="177" t="s">
        <v>128</v>
      </c>
      <c r="CL104" s="177" t="s">
        <v>128</v>
      </c>
      <c r="CM104" s="155" t="s">
        <v>109</v>
      </c>
      <c r="CN104" s="229">
        <v>0</v>
      </c>
      <c r="CO104" s="229">
        <v>1</v>
      </c>
      <c r="CP104" t="s">
        <v>155</v>
      </c>
      <c r="CR104" s="248"/>
    </row>
    <row r="105" spans="1:96" ht="14.4" x14ac:dyDescent="0.3">
      <c r="A105">
        <v>102</v>
      </c>
      <c r="B105" s="173" t="s">
        <v>914</v>
      </c>
      <c r="C105" s="259"/>
      <c r="D105" s="260"/>
      <c r="E105" t="s">
        <v>915</v>
      </c>
      <c r="F105" t="s">
        <v>916</v>
      </c>
      <c r="G105" s="177" t="s">
        <v>688</v>
      </c>
      <c r="H105" s="177" t="s">
        <v>146</v>
      </c>
      <c r="I105" s="177" t="s">
        <v>109</v>
      </c>
      <c r="J105" s="177" t="s">
        <v>109</v>
      </c>
      <c r="K105" s="177" t="s">
        <v>662</v>
      </c>
      <c r="L105" s="177" t="s">
        <v>663</v>
      </c>
      <c r="M105" s="177" t="s">
        <v>109</v>
      </c>
      <c r="N105" s="177" t="s">
        <v>109</v>
      </c>
      <c r="O105" s="180">
        <v>45687</v>
      </c>
      <c r="P105" s="177" t="s">
        <v>917</v>
      </c>
      <c r="Q105" s="177" t="s">
        <v>109</v>
      </c>
      <c r="R105" s="177" t="s">
        <v>109</v>
      </c>
      <c r="S105" s="177" t="s">
        <v>109</v>
      </c>
      <c r="T105" s="177" t="s">
        <v>404</v>
      </c>
      <c r="U105" s="177" t="s">
        <v>918</v>
      </c>
      <c r="V105" s="177" t="b">
        <v>0</v>
      </c>
      <c r="W105" s="177" t="s">
        <v>109</v>
      </c>
      <c r="X105" s="261"/>
      <c r="Y105" s="177">
        <v>4.8499999999999996</v>
      </c>
      <c r="Z105" s="177" t="s">
        <v>109</v>
      </c>
      <c r="AA105" s="177">
        <v>69</v>
      </c>
      <c r="AB105" s="177" t="s">
        <v>109</v>
      </c>
      <c r="AC105" s="177">
        <v>1.2</v>
      </c>
      <c r="AD105" s="177" t="s">
        <v>919</v>
      </c>
      <c r="AE105" s="177" t="s">
        <v>920</v>
      </c>
      <c r="AF105" s="177">
        <v>1</v>
      </c>
      <c r="AG105" s="177">
        <v>12149</v>
      </c>
      <c r="AH105" s="177" t="s">
        <v>121</v>
      </c>
      <c r="AI105" s="177" t="b">
        <v>1</v>
      </c>
      <c r="AJ105" s="180">
        <v>43775</v>
      </c>
      <c r="AK105" s="177" t="s">
        <v>122</v>
      </c>
      <c r="AL105" s="177">
        <v>2015</v>
      </c>
      <c r="AM105" s="177" t="s">
        <v>109</v>
      </c>
      <c r="AN105" s="177" t="b">
        <v>0</v>
      </c>
      <c r="AO105" s="177" t="s">
        <v>109</v>
      </c>
      <c r="AP105" s="177" t="s">
        <v>109</v>
      </c>
      <c r="AQ105" s="177" t="s">
        <v>118</v>
      </c>
      <c r="AR105" s="177" t="b">
        <v>0</v>
      </c>
      <c r="AS105" s="177" t="s">
        <v>123</v>
      </c>
      <c r="AT105" s="180" t="s">
        <v>123</v>
      </c>
      <c r="AU105" s="177" t="s">
        <v>124</v>
      </c>
      <c r="AV105" s="177" t="s">
        <v>109</v>
      </c>
      <c r="AW105" s="177" t="s">
        <v>109</v>
      </c>
      <c r="AX105" s="177" t="s">
        <v>109</v>
      </c>
      <c r="AY105" s="177" t="s">
        <v>135</v>
      </c>
      <c r="AZ105" s="177" t="s">
        <v>109</v>
      </c>
      <c r="BA105" s="177" t="s">
        <v>494</v>
      </c>
      <c r="BB105" s="177">
        <v>2024</v>
      </c>
      <c r="BC105" s="177" t="s">
        <v>699</v>
      </c>
      <c r="BD105" s="177" t="s">
        <v>109</v>
      </c>
      <c r="BE105" s="180">
        <v>46023</v>
      </c>
      <c r="BF105" s="180">
        <v>44196</v>
      </c>
      <c r="BG105" s="180" t="s">
        <v>921</v>
      </c>
      <c r="BH105" s="177" t="s">
        <v>699</v>
      </c>
      <c r="BI105" s="177" t="s">
        <v>534</v>
      </c>
      <c r="BJ105" s="177" t="b">
        <v>0</v>
      </c>
      <c r="BK105" s="233">
        <v>36464.089740000003</v>
      </c>
      <c r="BL105" s="234" t="s">
        <v>128</v>
      </c>
      <c r="BM105" s="254">
        <v>35682.712</v>
      </c>
      <c r="BN105" s="254">
        <v>578.10916000000009</v>
      </c>
      <c r="BO105" s="254">
        <v>720.46478999999999</v>
      </c>
      <c r="BP105" s="254">
        <v>576.56025</v>
      </c>
      <c r="BQ105" s="254">
        <v>639.75406000000009</v>
      </c>
      <c r="BR105" s="254">
        <v>2933.1438399999997</v>
      </c>
      <c r="BS105" s="254">
        <v>240.61972999999998</v>
      </c>
      <c r="BT105" s="254">
        <v>3340.1672241999995</v>
      </c>
      <c r="BU105" s="254">
        <v>25280.765359200002</v>
      </c>
      <c r="BV105" s="254">
        <v>0</v>
      </c>
      <c r="BW105" s="254">
        <v>0</v>
      </c>
      <c r="BX105" s="254">
        <v>0</v>
      </c>
      <c r="BY105" s="255">
        <v>7061.7790000000005</v>
      </c>
      <c r="BZ105" s="236" t="s">
        <v>109</v>
      </c>
      <c r="CA105" s="236" t="s">
        <v>109</v>
      </c>
      <c r="CB105" s="236" t="s">
        <v>109</v>
      </c>
      <c r="CC105" s="254">
        <v>0</v>
      </c>
      <c r="CD105" s="254">
        <v>0</v>
      </c>
      <c r="CE105" s="254">
        <v>0</v>
      </c>
      <c r="CF105" s="254">
        <v>0</v>
      </c>
      <c r="CG105" s="254">
        <v>0</v>
      </c>
      <c r="CH105" s="254">
        <v>0</v>
      </c>
      <c r="CI105" s="254">
        <v>0</v>
      </c>
      <c r="CJ105" s="237">
        <v>0</v>
      </c>
      <c r="CK105" s="177" t="s">
        <v>128</v>
      </c>
      <c r="CL105" s="177">
        <v>63.2</v>
      </c>
      <c r="CM105" s="155" t="s">
        <v>109</v>
      </c>
      <c r="CN105" s="229">
        <v>0</v>
      </c>
      <c r="CO105" s="229">
        <v>1</v>
      </c>
      <c r="CP105" t="s">
        <v>155</v>
      </c>
      <c r="CR105" s="248"/>
    </row>
    <row r="106" spans="1:96" ht="14.4" x14ac:dyDescent="0.3">
      <c r="A106">
        <v>103</v>
      </c>
      <c r="B106" s="173" t="s">
        <v>922</v>
      </c>
      <c r="C106" s="259"/>
      <c r="D106" s="260"/>
      <c r="E106" t="s">
        <v>923</v>
      </c>
      <c r="F106" t="s">
        <v>924</v>
      </c>
      <c r="G106" s="177" t="s">
        <v>661</v>
      </c>
      <c r="H106" s="177" t="s">
        <v>146</v>
      </c>
      <c r="I106" s="177" t="s">
        <v>113</v>
      </c>
      <c r="J106" s="177" t="s">
        <v>109</v>
      </c>
      <c r="K106" s="177" t="s">
        <v>662</v>
      </c>
      <c r="L106" s="177" t="s">
        <v>925</v>
      </c>
      <c r="M106" s="177" t="s">
        <v>109</v>
      </c>
      <c r="N106" s="177" t="s">
        <v>109</v>
      </c>
      <c r="O106" s="180">
        <v>45690</v>
      </c>
      <c r="P106" s="177" t="s">
        <v>926</v>
      </c>
      <c r="Q106" s="177" t="s">
        <v>109</v>
      </c>
      <c r="R106" s="177" t="s">
        <v>109</v>
      </c>
      <c r="S106" s="177" t="s">
        <v>109</v>
      </c>
      <c r="T106" s="177" t="s">
        <v>404</v>
      </c>
      <c r="U106" s="177" t="s">
        <v>117</v>
      </c>
      <c r="V106" s="177" t="b">
        <v>0</v>
      </c>
      <c r="W106" s="177" t="s">
        <v>109</v>
      </c>
      <c r="X106" s="261"/>
      <c r="Y106" s="177">
        <v>6.3770189999999998</v>
      </c>
      <c r="Z106" s="177" t="s">
        <v>118</v>
      </c>
      <c r="AA106" s="177">
        <v>138</v>
      </c>
      <c r="AB106" s="177" t="s">
        <v>109</v>
      </c>
      <c r="AC106" s="177">
        <v>1.2</v>
      </c>
      <c r="AD106" s="177" t="s">
        <v>927</v>
      </c>
      <c r="AE106" s="177" t="s">
        <v>928</v>
      </c>
      <c r="AF106" s="177">
        <v>1</v>
      </c>
      <c r="AG106" s="177">
        <v>12150</v>
      </c>
      <c r="AH106" s="177" t="s">
        <v>121</v>
      </c>
      <c r="AI106" s="177" t="b">
        <v>1</v>
      </c>
      <c r="AJ106" s="180">
        <v>43804</v>
      </c>
      <c r="AK106" s="177" t="s">
        <v>122</v>
      </c>
      <c r="AL106" s="177">
        <v>2015</v>
      </c>
      <c r="AM106" s="177" t="s">
        <v>109</v>
      </c>
      <c r="AN106" s="177" t="b">
        <v>0</v>
      </c>
      <c r="AO106" s="177" t="s">
        <v>109</v>
      </c>
      <c r="AP106" s="177" t="s">
        <v>109</v>
      </c>
      <c r="AQ106" s="177" t="s">
        <v>118</v>
      </c>
      <c r="AR106" s="177" t="b">
        <v>0</v>
      </c>
      <c r="AS106" s="177" t="s">
        <v>123</v>
      </c>
      <c r="AT106" s="180" t="s">
        <v>123</v>
      </c>
      <c r="AU106" s="177" t="s">
        <v>124</v>
      </c>
      <c r="AV106" s="177" t="s">
        <v>109</v>
      </c>
      <c r="AW106" s="177" t="s">
        <v>226</v>
      </c>
      <c r="AX106" s="177" t="s">
        <v>118</v>
      </c>
      <c r="AY106" s="177" t="s">
        <v>135</v>
      </c>
      <c r="AZ106" s="177" t="s">
        <v>109</v>
      </c>
      <c r="BA106" s="177" t="s">
        <v>109</v>
      </c>
      <c r="BB106" s="177" t="s">
        <v>109</v>
      </c>
      <c r="BC106" s="177" t="s">
        <v>126</v>
      </c>
      <c r="BD106" s="177" t="s">
        <v>109</v>
      </c>
      <c r="BE106" s="180" t="s">
        <v>929</v>
      </c>
      <c r="BF106" s="180" t="s">
        <v>540</v>
      </c>
      <c r="BG106" s="180" t="s">
        <v>930</v>
      </c>
      <c r="BH106" s="177" t="s">
        <v>109</v>
      </c>
      <c r="BI106" s="177" t="s">
        <v>109</v>
      </c>
      <c r="BJ106" s="177" t="b">
        <v>1</v>
      </c>
      <c r="BK106" s="233">
        <v>317.23644999999999</v>
      </c>
      <c r="BL106" s="234" t="s">
        <v>128</v>
      </c>
      <c r="BM106" s="254">
        <v>21751.494999999999</v>
      </c>
      <c r="BN106" s="254">
        <v>475.637156</v>
      </c>
      <c r="BO106" s="254">
        <v>2288.5515901000003</v>
      </c>
      <c r="BP106" s="254">
        <v>11949.8744033</v>
      </c>
      <c r="BQ106" s="254">
        <v>5638.7273805999994</v>
      </c>
      <c r="BR106" s="254">
        <v>101.990814</v>
      </c>
      <c r="BS106" s="254">
        <v>4.679964</v>
      </c>
      <c r="BT106" s="254">
        <v>0</v>
      </c>
      <c r="BU106" s="254">
        <v>0</v>
      </c>
      <c r="BV106" s="254">
        <v>0</v>
      </c>
      <c r="BW106" s="254">
        <v>0</v>
      </c>
      <c r="BX106" s="254">
        <v>0</v>
      </c>
      <c r="BY106" s="255">
        <v>0</v>
      </c>
      <c r="BZ106" s="236" t="s">
        <v>109</v>
      </c>
      <c r="CA106" s="236" t="s">
        <v>109</v>
      </c>
      <c r="CB106" s="236" t="s">
        <v>129</v>
      </c>
      <c r="CC106" s="254">
        <v>472.95913000000002</v>
      </c>
      <c r="CD106" s="254">
        <v>2280.3549199999998</v>
      </c>
      <c r="CE106" s="254">
        <v>11932.390640000001</v>
      </c>
      <c r="CF106" s="254">
        <v>5667.4971991000002</v>
      </c>
      <c r="CG106" s="254">
        <v>101.990814</v>
      </c>
      <c r="CH106" s="254">
        <v>4.679964</v>
      </c>
      <c r="CI106" s="254">
        <v>0</v>
      </c>
      <c r="CJ106" s="237">
        <v>0</v>
      </c>
      <c r="CK106" s="177" t="s">
        <v>128</v>
      </c>
      <c r="CL106" s="177" t="s">
        <v>128</v>
      </c>
      <c r="CM106" s="155" t="s">
        <v>109</v>
      </c>
      <c r="CN106" s="229">
        <v>0</v>
      </c>
      <c r="CO106" s="229">
        <v>1</v>
      </c>
      <c r="CP106" t="s">
        <v>155</v>
      </c>
      <c r="CR106" s="248"/>
    </row>
    <row r="107" spans="1:96" ht="14.4" x14ac:dyDescent="0.3">
      <c r="A107">
        <v>104</v>
      </c>
      <c r="B107" s="173" t="s">
        <v>931</v>
      </c>
      <c r="C107" s="259"/>
      <c r="D107" s="260"/>
      <c r="E107" t="s">
        <v>923</v>
      </c>
      <c r="F107" t="s">
        <v>932</v>
      </c>
      <c r="G107" s="177" t="s">
        <v>661</v>
      </c>
      <c r="H107" s="177" t="s">
        <v>146</v>
      </c>
      <c r="I107" s="177" t="s">
        <v>113</v>
      </c>
      <c r="J107" s="177" t="s">
        <v>109</v>
      </c>
      <c r="K107" s="177" t="s">
        <v>662</v>
      </c>
      <c r="L107" s="177" t="s">
        <v>869</v>
      </c>
      <c r="M107" s="177" t="s">
        <v>109</v>
      </c>
      <c r="N107" s="177" t="s">
        <v>109</v>
      </c>
      <c r="O107" s="180">
        <v>45690</v>
      </c>
      <c r="P107" s="177" t="s">
        <v>933</v>
      </c>
      <c r="Q107" s="177" t="s">
        <v>109</v>
      </c>
      <c r="R107" s="177" t="s">
        <v>109</v>
      </c>
      <c r="S107" s="177" t="s">
        <v>109</v>
      </c>
      <c r="T107" s="177" t="s">
        <v>404</v>
      </c>
      <c r="U107" s="177" t="s">
        <v>117</v>
      </c>
      <c r="V107" s="177" t="b">
        <v>0</v>
      </c>
      <c r="W107" s="177" t="s">
        <v>109</v>
      </c>
      <c r="X107" s="261"/>
      <c r="Y107" s="177">
        <v>1.6748339999999999</v>
      </c>
      <c r="Z107" s="177" t="s">
        <v>118</v>
      </c>
      <c r="AA107" s="177">
        <v>138</v>
      </c>
      <c r="AB107" s="177" t="s">
        <v>109</v>
      </c>
      <c r="AC107" s="177">
        <v>1.2</v>
      </c>
      <c r="AD107" s="177" t="s">
        <v>934</v>
      </c>
      <c r="AE107" s="177" t="s">
        <v>935</v>
      </c>
      <c r="AF107" s="177">
        <v>1</v>
      </c>
      <c r="AG107" s="177">
        <v>12152</v>
      </c>
      <c r="AH107" s="177" t="s">
        <v>121</v>
      </c>
      <c r="AI107" s="177" t="b">
        <v>1</v>
      </c>
      <c r="AJ107" s="180">
        <v>43775</v>
      </c>
      <c r="AK107" s="177" t="s">
        <v>122</v>
      </c>
      <c r="AL107" s="177">
        <v>2015</v>
      </c>
      <c r="AM107" s="177" t="s">
        <v>109</v>
      </c>
      <c r="AN107" s="177" t="b">
        <v>0</v>
      </c>
      <c r="AO107" s="177" t="s">
        <v>109</v>
      </c>
      <c r="AP107" s="177" t="s">
        <v>109</v>
      </c>
      <c r="AQ107" s="177" t="s">
        <v>118</v>
      </c>
      <c r="AR107" s="177" t="b">
        <v>0</v>
      </c>
      <c r="AS107" s="177" t="s">
        <v>123</v>
      </c>
      <c r="AT107" s="180" t="s">
        <v>123</v>
      </c>
      <c r="AU107" s="177" t="s">
        <v>124</v>
      </c>
      <c r="AV107" s="177" t="s">
        <v>109</v>
      </c>
      <c r="AW107" s="177" t="s">
        <v>226</v>
      </c>
      <c r="AX107" s="177" t="s">
        <v>118</v>
      </c>
      <c r="AY107" s="177" t="s">
        <v>135</v>
      </c>
      <c r="AZ107" s="177" t="s">
        <v>109</v>
      </c>
      <c r="BA107" s="177" t="s">
        <v>125</v>
      </c>
      <c r="BB107" s="177" t="s">
        <v>109</v>
      </c>
      <c r="BC107" s="177" t="s">
        <v>126</v>
      </c>
      <c r="BD107" s="177" t="s">
        <v>109</v>
      </c>
      <c r="BE107" s="180" t="s">
        <v>936</v>
      </c>
      <c r="BF107" s="180" t="s">
        <v>540</v>
      </c>
      <c r="BG107" s="180" t="s">
        <v>937</v>
      </c>
      <c r="BH107" s="177" t="s">
        <v>109</v>
      </c>
      <c r="BI107" s="177" t="s">
        <v>109</v>
      </c>
      <c r="BJ107" s="177" t="b">
        <v>0</v>
      </c>
      <c r="BK107" s="233">
        <v>249.94092000000001</v>
      </c>
      <c r="BL107" s="234" t="s">
        <v>128</v>
      </c>
      <c r="BM107" s="233">
        <v>2579.3859804560002</v>
      </c>
      <c r="BN107" s="233">
        <v>315.73817000000003</v>
      </c>
      <c r="BO107" s="233">
        <v>1149.8398282999999</v>
      </c>
      <c r="BP107" s="233">
        <v>408.99024709999998</v>
      </c>
      <c r="BQ107" s="233">
        <v>232.70897170000001</v>
      </c>
      <c r="BR107" s="233">
        <v>1.4772400000000001</v>
      </c>
      <c r="BS107" s="233">
        <v>0</v>
      </c>
      <c r="BT107" s="233">
        <v>0</v>
      </c>
      <c r="BU107" s="233">
        <v>0</v>
      </c>
      <c r="BV107" s="233">
        <v>0</v>
      </c>
      <c r="BW107" s="233">
        <v>0</v>
      </c>
      <c r="BX107" s="233">
        <v>0</v>
      </c>
      <c r="BY107" s="234">
        <v>0</v>
      </c>
      <c r="BZ107" s="236" t="s">
        <v>109</v>
      </c>
      <c r="CA107" s="236" t="s">
        <v>109</v>
      </c>
      <c r="CB107" s="236" t="s">
        <v>528</v>
      </c>
      <c r="CC107" s="233">
        <v>315.73817000000003</v>
      </c>
      <c r="CD107" s="233">
        <v>1146.33681</v>
      </c>
      <c r="CE107" s="233">
        <v>412.49492880000003</v>
      </c>
      <c r="CF107" s="233">
        <v>232.70897170000001</v>
      </c>
      <c r="CG107" s="233">
        <v>1.4772400000000001</v>
      </c>
      <c r="CH107" s="233">
        <v>0</v>
      </c>
      <c r="CI107" s="233">
        <v>0</v>
      </c>
      <c r="CJ107" s="237">
        <v>0</v>
      </c>
      <c r="CK107" s="177" t="s">
        <v>128</v>
      </c>
      <c r="CL107" s="177" t="s">
        <v>128</v>
      </c>
      <c r="CM107" s="155" t="s">
        <v>109</v>
      </c>
      <c r="CN107" s="229">
        <v>0</v>
      </c>
      <c r="CO107" s="229">
        <v>1</v>
      </c>
      <c r="CP107" t="s">
        <v>155</v>
      </c>
      <c r="CR107" s="248"/>
    </row>
    <row r="108" spans="1:96" ht="14.4" x14ac:dyDescent="0.3">
      <c r="A108">
        <v>105</v>
      </c>
      <c r="B108" s="173" t="s">
        <v>939</v>
      </c>
      <c r="C108" s="259"/>
      <c r="D108" s="260"/>
      <c r="E108" t="s">
        <v>329</v>
      </c>
      <c r="F108" t="s">
        <v>940</v>
      </c>
      <c r="G108" s="177" t="s">
        <v>688</v>
      </c>
      <c r="H108" s="177" t="s">
        <v>146</v>
      </c>
      <c r="I108" s="177" t="s">
        <v>113</v>
      </c>
      <c r="J108" s="177" t="s">
        <v>109</v>
      </c>
      <c r="K108" s="177" t="s">
        <v>114</v>
      </c>
      <c r="L108" s="177" t="s">
        <v>663</v>
      </c>
      <c r="M108" s="177" t="s">
        <v>109</v>
      </c>
      <c r="N108" s="177" t="s">
        <v>109</v>
      </c>
      <c r="O108" s="180">
        <v>45703</v>
      </c>
      <c r="P108" s="177" t="s">
        <v>109</v>
      </c>
      <c r="Q108" s="177" t="s">
        <v>109</v>
      </c>
      <c r="R108" s="177" t="s">
        <v>509</v>
      </c>
      <c r="S108" s="177" t="s">
        <v>109</v>
      </c>
      <c r="T108" s="177" t="s">
        <v>116</v>
      </c>
      <c r="U108" s="177" t="s">
        <v>117</v>
      </c>
      <c r="V108" s="177" t="b">
        <v>0</v>
      </c>
      <c r="W108" s="177" t="s">
        <v>109</v>
      </c>
      <c r="X108" s="261"/>
      <c r="Y108" s="177">
        <v>3.9990670000000001</v>
      </c>
      <c r="Z108" s="177" t="s">
        <v>118</v>
      </c>
      <c r="AA108" s="177">
        <v>69</v>
      </c>
      <c r="AB108" s="177" t="s">
        <v>109</v>
      </c>
      <c r="AC108" s="177">
        <v>4.0999999999999996</v>
      </c>
      <c r="AD108" s="177" t="s">
        <v>941</v>
      </c>
      <c r="AE108" s="177" t="s">
        <v>942</v>
      </c>
      <c r="AF108" s="177">
        <v>1</v>
      </c>
      <c r="AG108" s="177">
        <v>12156</v>
      </c>
      <c r="AH108" s="177" t="s">
        <v>121</v>
      </c>
      <c r="AI108" s="177" t="b">
        <v>1</v>
      </c>
      <c r="AJ108" s="180">
        <v>44110</v>
      </c>
      <c r="AK108" s="177" t="s">
        <v>122</v>
      </c>
      <c r="AL108" s="177">
        <v>2015</v>
      </c>
      <c r="AM108" s="177" t="s">
        <v>109</v>
      </c>
      <c r="AN108" s="177" t="b">
        <v>0</v>
      </c>
      <c r="AO108" s="177" t="s">
        <v>109</v>
      </c>
      <c r="AP108" s="177" t="s">
        <v>109</v>
      </c>
      <c r="AQ108" s="177" t="s">
        <v>118</v>
      </c>
      <c r="AR108" s="177" t="b">
        <v>0</v>
      </c>
      <c r="AS108" s="177" t="s">
        <v>123</v>
      </c>
      <c r="AT108" s="180" t="s">
        <v>123</v>
      </c>
      <c r="AU108" s="177" t="s">
        <v>124</v>
      </c>
      <c r="AV108" s="177" t="s">
        <v>109</v>
      </c>
      <c r="AW108" s="177" t="s">
        <v>118</v>
      </c>
      <c r="AX108" s="177" t="s">
        <v>118</v>
      </c>
      <c r="AY108" s="177" t="s">
        <v>135</v>
      </c>
      <c r="AZ108" s="177" t="s">
        <v>109</v>
      </c>
      <c r="BA108" s="177" t="s">
        <v>494</v>
      </c>
      <c r="BB108" s="177">
        <v>2018</v>
      </c>
      <c r="BC108" s="177" t="s">
        <v>126</v>
      </c>
      <c r="BD108" s="177" t="s">
        <v>109</v>
      </c>
      <c r="BE108" s="180" t="s">
        <v>943</v>
      </c>
      <c r="BF108" s="180" t="s">
        <v>944</v>
      </c>
      <c r="BG108" s="180" t="s">
        <v>945</v>
      </c>
      <c r="BH108" s="177" t="s">
        <v>946</v>
      </c>
      <c r="BI108" s="177" t="s">
        <v>699</v>
      </c>
      <c r="BJ108" s="177" t="b">
        <v>1</v>
      </c>
      <c r="BK108" s="233">
        <v>1260.07864</v>
      </c>
      <c r="BL108" s="234" t="s">
        <v>128</v>
      </c>
      <c r="BM108" s="254">
        <v>8349.7900000000009</v>
      </c>
      <c r="BN108" s="254">
        <v>1535.3794800000001</v>
      </c>
      <c r="BO108" s="254">
        <v>1913.53215</v>
      </c>
      <c r="BP108" s="254">
        <v>1043.6200699999999</v>
      </c>
      <c r="BQ108" s="254">
        <v>406.03035999999997</v>
      </c>
      <c r="BR108" s="254">
        <v>465.90088000000003</v>
      </c>
      <c r="BS108" s="254">
        <v>53.617220000000003</v>
      </c>
      <c r="BT108" s="254">
        <v>0</v>
      </c>
      <c r="BU108" s="254">
        <v>0</v>
      </c>
      <c r="BV108" s="254">
        <v>0</v>
      </c>
      <c r="BW108" s="254">
        <v>0</v>
      </c>
      <c r="BX108" s="254">
        <v>0</v>
      </c>
      <c r="BY108" s="255">
        <v>0</v>
      </c>
      <c r="BZ108" s="236" t="s">
        <v>109</v>
      </c>
      <c r="CA108" s="236" t="s">
        <v>109</v>
      </c>
      <c r="CB108" s="236" t="s">
        <v>139</v>
      </c>
      <c r="CC108" s="254">
        <v>0</v>
      </c>
      <c r="CD108" s="254">
        <v>0</v>
      </c>
      <c r="CE108" s="254">
        <v>6109.9589000000005</v>
      </c>
      <c r="CF108" s="254">
        <v>406.03035999999997</v>
      </c>
      <c r="CG108" s="254">
        <v>465.90088000000003</v>
      </c>
      <c r="CH108" s="254">
        <v>53.617220000000003</v>
      </c>
      <c r="CI108" s="254">
        <v>0</v>
      </c>
      <c r="CJ108" s="237">
        <v>0.93</v>
      </c>
      <c r="CK108" s="177" t="s">
        <v>128</v>
      </c>
      <c r="CL108" s="177" t="s">
        <v>128</v>
      </c>
      <c r="CM108" s="155" t="s">
        <v>109</v>
      </c>
      <c r="CN108" s="229">
        <v>0</v>
      </c>
      <c r="CO108" s="229">
        <v>1</v>
      </c>
      <c r="CP108" t="s">
        <v>155</v>
      </c>
      <c r="CR108" s="248"/>
    </row>
    <row r="109" spans="1:96" ht="14.4" x14ac:dyDescent="0.3">
      <c r="A109">
        <v>106</v>
      </c>
      <c r="B109" s="173" t="s">
        <v>947</v>
      </c>
      <c r="C109" s="259"/>
      <c r="D109" s="260"/>
      <c r="E109" t="s">
        <v>109</v>
      </c>
      <c r="F109" t="s">
        <v>948</v>
      </c>
      <c r="G109" s="177" t="s">
        <v>661</v>
      </c>
      <c r="H109" s="177" t="s">
        <v>109</v>
      </c>
      <c r="I109" s="177" t="s">
        <v>109</v>
      </c>
      <c r="J109" s="177" t="s">
        <v>109</v>
      </c>
      <c r="K109" s="177" t="s">
        <v>234</v>
      </c>
      <c r="L109" s="177" t="s">
        <v>663</v>
      </c>
      <c r="M109" s="177" t="s">
        <v>109</v>
      </c>
      <c r="N109" s="177" t="s">
        <v>109</v>
      </c>
      <c r="O109" s="180" t="s">
        <v>109</v>
      </c>
      <c r="P109" s="177" t="s">
        <v>109</v>
      </c>
      <c r="Q109" s="177" t="s">
        <v>109</v>
      </c>
      <c r="R109" s="177" t="s">
        <v>109</v>
      </c>
      <c r="S109" s="177" t="s">
        <v>109</v>
      </c>
      <c r="T109" s="177" t="s">
        <v>119</v>
      </c>
      <c r="U109" s="177" t="s">
        <v>117</v>
      </c>
      <c r="V109" s="177" t="b">
        <v>0</v>
      </c>
      <c r="W109" s="177" t="s">
        <v>109</v>
      </c>
      <c r="X109" s="261"/>
      <c r="Y109" s="177" t="s">
        <v>118</v>
      </c>
      <c r="Z109" s="177" t="s">
        <v>118</v>
      </c>
      <c r="AA109" s="177" t="s">
        <v>119</v>
      </c>
      <c r="AB109" s="177" t="s">
        <v>109</v>
      </c>
      <c r="AC109" s="177">
        <v>1.2</v>
      </c>
      <c r="AD109" s="177" t="s">
        <v>119</v>
      </c>
      <c r="AE109" s="177" t="s">
        <v>949</v>
      </c>
      <c r="AF109" s="177">
        <v>78</v>
      </c>
      <c r="AG109" s="177">
        <v>12159</v>
      </c>
      <c r="AH109" s="177" t="s">
        <v>121</v>
      </c>
      <c r="AI109" s="177" t="b">
        <v>1</v>
      </c>
      <c r="AJ109" s="180">
        <v>44904</v>
      </c>
      <c r="AK109" s="177" t="s">
        <v>122</v>
      </c>
      <c r="AL109" s="177" t="s">
        <v>109</v>
      </c>
      <c r="AM109" s="177" t="s">
        <v>109</v>
      </c>
      <c r="AN109" s="177" t="b">
        <v>0</v>
      </c>
      <c r="AO109" s="177" t="s">
        <v>109</v>
      </c>
      <c r="AP109" s="177" t="s">
        <v>109</v>
      </c>
      <c r="AQ109" s="177" t="s">
        <v>118</v>
      </c>
      <c r="AR109" s="177" t="b">
        <v>0</v>
      </c>
      <c r="AS109" s="177" t="s">
        <v>123</v>
      </c>
      <c r="AT109" s="180" t="s">
        <v>123</v>
      </c>
      <c r="AU109" s="177" t="s">
        <v>124</v>
      </c>
      <c r="AV109" s="177" t="s">
        <v>109</v>
      </c>
      <c r="AW109" s="177" t="s">
        <v>118</v>
      </c>
      <c r="AX109" s="177" t="s">
        <v>118</v>
      </c>
      <c r="AY109" s="177" t="s">
        <v>109</v>
      </c>
      <c r="AZ109" s="177" t="s">
        <v>109</v>
      </c>
      <c r="BA109" s="177" t="s">
        <v>125</v>
      </c>
      <c r="BB109" s="177" t="s">
        <v>109</v>
      </c>
      <c r="BC109" s="177" t="s">
        <v>126</v>
      </c>
      <c r="BD109" s="177" t="s">
        <v>109</v>
      </c>
      <c r="BE109" s="180" t="s">
        <v>109</v>
      </c>
      <c r="BF109" s="180" t="s">
        <v>453</v>
      </c>
      <c r="BG109" s="180" t="s">
        <v>119</v>
      </c>
      <c r="BH109" s="177" t="s">
        <v>109</v>
      </c>
      <c r="BI109" s="177" t="s">
        <v>109</v>
      </c>
      <c r="BJ109" s="177" t="b">
        <v>0</v>
      </c>
      <c r="BK109" s="233" t="s">
        <v>118</v>
      </c>
      <c r="BL109" s="234" t="s">
        <v>128</v>
      </c>
      <c r="BM109" s="233">
        <f>29545.020146366-BM110</f>
        <v>25188.152366366001</v>
      </c>
      <c r="BN109" s="235">
        <f>4840.0188223-BN110</f>
        <v>2549.1465522999997</v>
      </c>
      <c r="BO109" s="235">
        <f>699.1720325-BO110</f>
        <v>337.99636249999998</v>
      </c>
      <c r="BP109" s="235">
        <f>119.83726-BP110</f>
        <v>69.510860000000008</v>
      </c>
      <c r="BQ109" s="235">
        <f>13.39496-BQ110</f>
        <v>9.3214699999999997</v>
      </c>
      <c r="BR109" s="235">
        <f>0.00273-BR110</f>
        <v>1.0499999999999997E-3</v>
      </c>
      <c r="BS109" s="235">
        <f t="shared" ref="BS109:BX109" si="1">0-BS110</f>
        <v>0</v>
      </c>
      <c r="BT109" s="235">
        <f t="shared" si="1"/>
        <v>0</v>
      </c>
      <c r="BU109" s="235">
        <f t="shared" si="1"/>
        <v>0</v>
      </c>
      <c r="BV109" s="235">
        <f t="shared" si="1"/>
        <v>0</v>
      </c>
      <c r="BW109" s="235">
        <f t="shared" si="1"/>
        <v>0</v>
      </c>
      <c r="BX109" s="235">
        <f t="shared" si="1"/>
        <v>0</v>
      </c>
      <c r="BY109" s="234">
        <v>0</v>
      </c>
      <c r="BZ109" s="236" t="s">
        <v>109</v>
      </c>
      <c r="CA109" s="236" t="s">
        <v>109</v>
      </c>
      <c r="CB109" s="236" t="s">
        <v>528</v>
      </c>
      <c r="CC109" s="235">
        <f>3236.4467215-CC110</f>
        <v>3236.4467215</v>
      </c>
      <c r="CD109" s="235">
        <f>5710.5817095-CD110</f>
        <v>1408.1154995000006</v>
      </c>
      <c r="CE109" s="235">
        <f>125.54664-CE110</f>
        <v>75.22023999999999</v>
      </c>
      <c r="CF109" s="235">
        <f>13.39496-CF110</f>
        <v>9.3214699999999997</v>
      </c>
      <c r="CG109" s="235">
        <f>0.00273-CG110</f>
        <v>1.0499999999999997E-3</v>
      </c>
      <c r="CH109" s="235">
        <f>0-CH110</f>
        <v>0</v>
      </c>
      <c r="CI109" s="235">
        <f>0-CI110</f>
        <v>0</v>
      </c>
      <c r="CJ109" s="237">
        <v>0</v>
      </c>
      <c r="CK109" s="177" t="s">
        <v>128</v>
      </c>
      <c r="CL109" s="177" t="s">
        <v>128</v>
      </c>
      <c r="CM109" s="155" t="s">
        <v>109</v>
      </c>
      <c r="CN109" s="229">
        <v>0.13550000000000001</v>
      </c>
      <c r="CO109" s="229">
        <v>0.86450000000000005</v>
      </c>
      <c r="CP109" t="s">
        <v>155</v>
      </c>
      <c r="CR109" s="248"/>
    </row>
    <row r="110" spans="1:96" ht="14.4" x14ac:dyDescent="0.3">
      <c r="A110">
        <v>107</v>
      </c>
      <c r="B110" s="173" t="s">
        <v>950</v>
      </c>
      <c r="C110" s="259"/>
      <c r="D110" s="260"/>
      <c r="E110" t="s">
        <v>191</v>
      </c>
      <c r="F110" t="s">
        <v>951</v>
      </c>
      <c r="G110" s="177" t="s">
        <v>688</v>
      </c>
      <c r="H110" s="177" t="s">
        <v>112</v>
      </c>
      <c r="I110" s="177" t="s">
        <v>109</v>
      </c>
      <c r="J110" s="177" t="s">
        <v>109</v>
      </c>
      <c r="K110" s="177" t="s">
        <v>234</v>
      </c>
      <c r="L110" s="177" t="s">
        <v>663</v>
      </c>
      <c r="M110" s="177" t="s">
        <v>109</v>
      </c>
      <c r="N110" s="177" t="s">
        <v>109</v>
      </c>
      <c r="O110" s="180">
        <v>45685</v>
      </c>
      <c r="P110" s="177" t="s">
        <v>109</v>
      </c>
      <c r="Q110" s="177" t="s">
        <v>109</v>
      </c>
      <c r="R110" s="177" t="s">
        <v>109</v>
      </c>
      <c r="S110" s="177" t="s">
        <v>109</v>
      </c>
      <c r="T110" s="177" t="s">
        <v>116</v>
      </c>
      <c r="U110" s="177" t="s">
        <v>117</v>
      </c>
      <c r="V110" s="177" t="b">
        <v>0</v>
      </c>
      <c r="W110" s="177" t="s">
        <v>109</v>
      </c>
      <c r="X110" s="261"/>
      <c r="Y110" s="177">
        <v>69</v>
      </c>
      <c r="Z110" s="177" t="s">
        <v>109</v>
      </c>
      <c r="AA110" s="177" t="s">
        <v>109</v>
      </c>
      <c r="AB110" s="177" t="s">
        <v>109</v>
      </c>
      <c r="AC110" s="177">
        <v>1.2</v>
      </c>
      <c r="AD110" s="177" t="s">
        <v>952</v>
      </c>
      <c r="AE110" s="177" t="s">
        <v>949</v>
      </c>
      <c r="AF110" s="177">
        <v>1</v>
      </c>
      <c r="AG110" s="177">
        <v>12159</v>
      </c>
      <c r="AH110" s="177" t="s">
        <v>121</v>
      </c>
      <c r="AI110" s="177" t="b">
        <v>1</v>
      </c>
      <c r="AJ110" s="180" t="s">
        <v>953</v>
      </c>
      <c r="AK110" s="177" t="s">
        <v>122</v>
      </c>
      <c r="AL110" s="177" t="s">
        <v>109</v>
      </c>
      <c r="AM110" s="177" t="s">
        <v>109</v>
      </c>
      <c r="AN110" s="177" t="b">
        <v>0</v>
      </c>
      <c r="AO110" s="177" t="s">
        <v>109</v>
      </c>
      <c r="AP110" s="177" t="s">
        <v>109</v>
      </c>
      <c r="AQ110" s="177" t="s">
        <v>109</v>
      </c>
      <c r="AR110" s="177" t="b">
        <v>0</v>
      </c>
      <c r="AS110" s="177" t="s">
        <v>123</v>
      </c>
      <c r="AT110" s="180" t="s">
        <v>123</v>
      </c>
      <c r="AU110" s="177" t="s">
        <v>124</v>
      </c>
      <c r="AV110" s="177" t="s">
        <v>109</v>
      </c>
      <c r="AW110" s="177" t="s">
        <v>109</v>
      </c>
      <c r="AX110" s="177" t="s">
        <v>109</v>
      </c>
      <c r="AY110" s="177" t="s">
        <v>109</v>
      </c>
      <c r="AZ110" s="177" t="s">
        <v>109</v>
      </c>
      <c r="BA110" s="177" t="s">
        <v>125</v>
      </c>
      <c r="BB110" s="177" t="s">
        <v>109</v>
      </c>
      <c r="BC110" s="177" t="s">
        <v>126</v>
      </c>
      <c r="BD110" s="177" t="s">
        <v>109</v>
      </c>
      <c r="BE110" s="180" t="s">
        <v>109</v>
      </c>
      <c r="BF110" s="180" t="s">
        <v>172</v>
      </c>
      <c r="BG110" s="180" t="s">
        <v>119</v>
      </c>
      <c r="BH110" s="177" t="s">
        <v>109</v>
      </c>
      <c r="BI110" s="177" t="s">
        <v>109</v>
      </c>
      <c r="BJ110" s="177" t="b">
        <v>0</v>
      </c>
      <c r="BK110" s="233">
        <v>846.51599999999996</v>
      </c>
      <c r="BL110" s="234" t="s">
        <v>128</v>
      </c>
      <c r="BM110" s="233">
        <v>4356.8677799999996</v>
      </c>
      <c r="BN110" s="233">
        <v>2290.8722699999998</v>
      </c>
      <c r="BO110" s="233">
        <v>361.17567000000003</v>
      </c>
      <c r="BP110" s="233">
        <v>50.3264</v>
      </c>
      <c r="BQ110" s="233">
        <v>4.0734899999999996</v>
      </c>
      <c r="BR110" s="233">
        <v>1.6800000000000001E-3</v>
      </c>
      <c r="BS110" s="233">
        <v>0</v>
      </c>
      <c r="BT110" s="233">
        <v>0</v>
      </c>
      <c r="BU110" s="233">
        <v>0</v>
      </c>
      <c r="BV110" s="233">
        <v>0</v>
      </c>
      <c r="BW110" s="233">
        <v>0</v>
      </c>
      <c r="BX110" s="233">
        <v>0</v>
      </c>
      <c r="BY110" s="234">
        <v>0</v>
      </c>
      <c r="BZ110" s="236" t="s">
        <v>109</v>
      </c>
      <c r="CA110" s="236" t="s">
        <v>109</v>
      </c>
      <c r="CB110" s="233" t="s">
        <v>460</v>
      </c>
      <c r="CC110" s="233">
        <v>0</v>
      </c>
      <c r="CD110" s="233">
        <v>4302.4662099999996</v>
      </c>
      <c r="CE110" s="233">
        <v>50.3264</v>
      </c>
      <c r="CF110" s="233">
        <v>4.0734899999999996</v>
      </c>
      <c r="CG110" s="233">
        <v>1.6800000000000001E-3</v>
      </c>
      <c r="CH110" s="233">
        <v>0</v>
      </c>
      <c r="CI110" s="233">
        <v>0</v>
      </c>
      <c r="CJ110" s="237">
        <v>0</v>
      </c>
      <c r="CK110" s="177" t="s">
        <v>128</v>
      </c>
      <c r="CL110" s="177" t="s">
        <v>128</v>
      </c>
      <c r="CM110" s="155" t="s">
        <v>109</v>
      </c>
      <c r="CN110" s="229">
        <v>0</v>
      </c>
      <c r="CO110" s="229">
        <v>0</v>
      </c>
      <c r="CP110" t="s">
        <v>155</v>
      </c>
      <c r="CR110" s="248"/>
    </row>
    <row r="111" spans="1:96" ht="14.4" x14ac:dyDescent="0.3">
      <c r="A111">
        <v>108</v>
      </c>
      <c r="B111" s="173" t="s">
        <v>955</v>
      </c>
      <c r="C111" s="259"/>
      <c r="D111" s="260"/>
      <c r="E111" t="s">
        <v>956</v>
      </c>
      <c r="F111" t="s">
        <v>957</v>
      </c>
      <c r="G111" s="177" t="s">
        <v>661</v>
      </c>
      <c r="H111" s="177" t="s">
        <v>113</v>
      </c>
      <c r="I111" s="177" t="s">
        <v>958</v>
      </c>
      <c r="J111" s="177" t="s">
        <v>109</v>
      </c>
      <c r="K111" s="177" t="s">
        <v>114</v>
      </c>
      <c r="L111" s="177" t="s">
        <v>959</v>
      </c>
      <c r="M111" s="177" t="s">
        <v>109</v>
      </c>
      <c r="N111" s="177" t="s">
        <v>109</v>
      </c>
      <c r="O111" s="180">
        <v>45791</v>
      </c>
      <c r="P111" s="177" t="s">
        <v>109</v>
      </c>
      <c r="Q111" s="177" t="s">
        <v>508</v>
      </c>
      <c r="R111" s="177" t="s">
        <v>725</v>
      </c>
      <c r="S111" s="177" t="s">
        <v>109</v>
      </c>
      <c r="T111" s="177" t="s">
        <v>116</v>
      </c>
      <c r="U111" s="177" t="s">
        <v>117</v>
      </c>
      <c r="V111" s="177" t="b">
        <v>0</v>
      </c>
      <c r="W111" s="177" t="s">
        <v>109</v>
      </c>
      <c r="X111" s="261"/>
      <c r="Y111" s="177">
        <v>7.2488950000000001</v>
      </c>
      <c r="Z111" s="177" t="s">
        <v>118</v>
      </c>
      <c r="AA111" s="177">
        <v>69</v>
      </c>
      <c r="AB111" s="177" t="s">
        <v>109</v>
      </c>
      <c r="AC111" s="177">
        <v>2.1</v>
      </c>
      <c r="AD111" s="177" t="s">
        <v>960</v>
      </c>
      <c r="AE111" s="177" t="s">
        <v>961</v>
      </c>
      <c r="AF111" s="177">
        <v>1</v>
      </c>
      <c r="AG111" s="177">
        <v>13130</v>
      </c>
      <c r="AH111" s="177" t="s">
        <v>121</v>
      </c>
      <c r="AI111" s="177" t="b">
        <v>0</v>
      </c>
      <c r="AJ111" s="180" t="s">
        <v>109</v>
      </c>
      <c r="AK111" s="177" t="s">
        <v>122</v>
      </c>
      <c r="AL111" s="177">
        <v>2015</v>
      </c>
      <c r="AM111" s="177">
        <v>2013</v>
      </c>
      <c r="AN111" s="177" t="b">
        <v>0</v>
      </c>
      <c r="AO111" s="177">
        <v>2013</v>
      </c>
      <c r="AP111" s="177" t="s">
        <v>109</v>
      </c>
      <c r="AQ111" s="177" t="s">
        <v>962</v>
      </c>
      <c r="AR111" s="177" t="b">
        <v>0</v>
      </c>
      <c r="AS111" s="177" t="s">
        <v>490</v>
      </c>
      <c r="AT111" s="180">
        <v>43545</v>
      </c>
      <c r="AU111" s="177" t="s">
        <v>491</v>
      </c>
      <c r="AV111" s="177" t="s">
        <v>109</v>
      </c>
      <c r="AW111" s="177" t="s">
        <v>226</v>
      </c>
      <c r="AX111" s="177" t="s">
        <v>118</v>
      </c>
      <c r="AY111" s="177" t="s">
        <v>492</v>
      </c>
      <c r="AZ111" s="177" t="s">
        <v>963</v>
      </c>
      <c r="BA111" s="177" t="s">
        <v>494</v>
      </c>
      <c r="BB111" s="177">
        <v>2019</v>
      </c>
      <c r="BC111" s="177" t="s">
        <v>126</v>
      </c>
      <c r="BD111" s="177" t="s">
        <v>109</v>
      </c>
      <c r="BE111" s="180" t="s">
        <v>964</v>
      </c>
      <c r="BF111" s="180" t="s">
        <v>712</v>
      </c>
      <c r="BG111" s="180" t="s">
        <v>965</v>
      </c>
      <c r="BH111" s="177" t="s">
        <v>138</v>
      </c>
      <c r="BI111" s="177" t="s">
        <v>109</v>
      </c>
      <c r="BJ111" s="177" t="b">
        <v>1</v>
      </c>
      <c r="BK111" s="233">
        <v>17532.68619</v>
      </c>
      <c r="BL111" s="234" t="s">
        <v>128</v>
      </c>
      <c r="BM111" s="254">
        <v>28127.867999999999</v>
      </c>
      <c r="BN111" s="254">
        <v>3863.0071119000004</v>
      </c>
      <c r="BO111" s="254">
        <v>3327.1239193000001</v>
      </c>
      <c r="BP111" s="254">
        <v>16089.0942509</v>
      </c>
      <c r="BQ111" s="254">
        <v>1267.4145659000001</v>
      </c>
      <c r="BR111" s="254">
        <v>167.54269200000002</v>
      </c>
      <c r="BS111" s="254">
        <v>-0.23760200000000001</v>
      </c>
      <c r="BT111" s="254">
        <v>0</v>
      </c>
      <c r="BU111" s="254">
        <v>0</v>
      </c>
      <c r="BV111" s="254">
        <v>0</v>
      </c>
      <c r="BW111" s="254">
        <v>0</v>
      </c>
      <c r="BX111" s="254">
        <v>0</v>
      </c>
      <c r="BY111" s="255">
        <v>0</v>
      </c>
      <c r="BZ111" s="236" t="s">
        <v>109</v>
      </c>
      <c r="CA111" s="236" t="s">
        <v>109</v>
      </c>
      <c r="CB111" s="256" t="s">
        <v>966</v>
      </c>
      <c r="CC111" s="254">
        <v>-6.1572499999999995E-2</v>
      </c>
      <c r="CD111" s="254">
        <v>0</v>
      </c>
      <c r="CE111" s="254">
        <v>26693.209593200001</v>
      </c>
      <c r="CF111" s="254">
        <v>1267.4145659000001</v>
      </c>
      <c r="CG111" s="254">
        <v>167.54269200000002</v>
      </c>
      <c r="CH111" s="254">
        <v>-0.23760200000000001</v>
      </c>
      <c r="CI111" s="254">
        <v>0</v>
      </c>
      <c r="CJ111" s="237">
        <v>0</v>
      </c>
      <c r="CK111" s="177" t="s">
        <v>128</v>
      </c>
      <c r="CL111" s="177" t="s">
        <v>128</v>
      </c>
      <c r="CM111" s="155" t="s">
        <v>109</v>
      </c>
      <c r="CN111" s="229">
        <v>0</v>
      </c>
      <c r="CO111" s="229">
        <v>1</v>
      </c>
      <c r="CP111" t="s">
        <v>967</v>
      </c>
      <c r="CR111" s="248"/>
    </row>
    <row r="112" spans="1:96" ht="14.4" x14ac:dyDescent="0.3">
      <c r="A112">
        <v>109</v>
      </c>
      <c r="B112" s="173" t="s">
        <v>968</v>
      </c>
      <c r="C112" s="259"/>
      <c r="D112" s="260"/>
      <c r="E112" t="s">
        <v>109</v>
      </c>
      <c r="F112" t="s">
        <v>969</v>
      </c>
      <c r="G112" s="177" t="s">
        <v>166</v>
      </c>
      <c r="H112" s="177" t="s">
        <v>113</v>
      </c>
      <c r="I112" s="177" t="s">
        <v>109</v>
      </c>
      <c r="J112" s="177" t="s">
        <v>109</v>
      </c>
      <c r="K112" s="177" t="s">
        <v>114</v>
      </c>
      <c r="L112" s="177" t="s">
        <v>393</v>
      </c>
      <c r="M112" s="177" t="s">
        <v>109</v>
      </c>
      <c r="N112" s="177" t="s">
        <v>109</v>
      </c>
      <c r="O112" s="180" t="s">
        <v>109</v>
      </c>
      <c r="P112" s="177" t="s">
        <v>109</v>
      </c>
      <c r="Q112" s="177" t="s">
        <v>109</v>
      </c>
      <c r="R112" s="177" t="s">
        <v>109</v>
      </c>
      <c r="S112" s="177" t="s">
        <v>109</v>
      </c>
      <c r="T112" s="177" t="s">
        <v>223</v>
      </c>
      <c r="U112" s="177" t="s">
        <v>117</v>
      </c>
      <c r="V112" s="177" t="b">
        <v>0</v>
      </c>
      <c r="W112" s="177" t="s">
        <v>109</v>
      </c>
      <c r="X112" s="261"/>
      <c r="Y112" s="177" t="s">
        <v>118</v>
      </c>
      <c r="Z112" s="177" t="s">
        <v>118</v>
      </c>
      <c r="AA112" s="177" t="s">
        <v>304</v>
      </c>
      <c r="AB112" s="177" t="s">
        <v>109</v>
      </c>
      <c r="AC112" s="177">
        <v>4.3</v>
      </c>
      <c r="AD112" s="177" t="s">
        <v>109</v>
      </c>
      <c r="AE112" s="177" t="s">
        <v>970</v>
      </c>
      <c r="AF112" s="177">
        <v>110</v>
      </c>
      <c r="AG112" s="177">
        <v>13139</v>
      </c>
      <c r="AH112" s="177" t="s">
        <v>121</v>
      </c>
      <c r="AI112" s="177" t="b">
        <v>1</v>
      </c>
      <c r="AJ112" s="180">
        <v>44095</v>
      </c>
      <c r="AK112" s="177" t="s">
        <v>122</v>
      </c>
      <c r="AL112" s="177" t="s">
        <v>109</v>
      </c>
      <c r="AM112" s="177" t="s">
        <v>109</v>
      </c>
      <c r="AN112" s="177" t="b">
        <v>0</v>
      </c>
      <c r="AO112" s="177" t="s">
        <v>109</v>
      </c>
      <c r="AP112" s="177" t="s">
        <v>109</v>
      </c>
      <c r="AQ112" s="177" t="s">
        <v>118</v>
      </c>
      <c r="AR112" s="177" t="b">
        <v>0</v>
      </c>
      <c r="AS112" s="177" t="s">
        <v>123</v>
      </c>
      <c r="AT112" s="180" t="s">
        <v>123</v>
      </c>
      <c r="AU112" s="177" t="s">
        <v>124</v>
      </c>
      <c r="AV112" s="177" t="s">
        <v>109</v>
      </c>
      <c r="AW112" s="177" t="s">
        <v>118</v>
      </c>
      <c r="AX112" s="177" t="s">
        <v>118</v>
      </c>
      <c r="AY112" s="177" t="s">
        <v>109</v>
      </c>
      <c r="AZ112" s="177" t="s">
        <v>109</v>
      </c>
      <c r="BA112" s="177" t="s">
        <v>218</v>
      </c>
      <c r="BB112" s="177" t="s">
        <v>109</v>
      </c>
      <c r="BC112" s="177" t="s">
        <v>126</v>
      </c>
      <c r="BD112" s="177" t="s">
        <v>109</v>
      </c>
      <c r="BE112" s="180" t="s">
        <v>109</v>
      </c>
      <c r="BF112" s="180" t="s">
        <v>227</v>
      </c>
      <c r="BG112" s="180" t="s">
        <v>119</v>
      </c>
      <c r="BH112" s="177" t="s">
        <v>109</v>
      </c>
      <c r="BI112" s="177" t="s">
        <v>109</v>
      </c>
      <c r="BJ112" s="177" t="b">
        <v>1</v>
      </c>
      <c r="BK112" s="233">
        <v>2971.1239999999998</v>
      </c>
      <c r="BL112" s="234" t="s">
        <v>128</v>
      </c>
      <c r="BM112" s="233">
        <v>10930.82957</v>
      </c>
      <c r="BN112" s="233">
        <v>1920.95216</v>
      </c>
      <c r="BO112" s="233">
        <v>2863.2316599999999</v>
      </c>
      <c r="BP112" s="233">
        <v>1806.3455300000001</v>
      </c>
      <c r="BQ112" s="233">
        <v>1352.94749</v>
      </c>
      <c r="BR112" s="233">
        <v>1051.9166700000001</v>
      </c>
      <c r="BS112" s="233">
        <v>272.24462</v>
      </c>
      <c r="BT112" s="233">
        <v>0</v>
      </c>
      <c r="BU112" s="233">
        <v>0</v>
      </c>
      <c r="BV112" s="233">
        <v>0</v>
      </c>
      <c r="BW112" s="233">
        <v>0</v>
      </c>
      <c r="BX112" s="233">
        <v>0</v>
      </c>
      <c r="BY112" s="234">
        <v>0</v>
      </c>
      <c r="BZ112" s="236" t="s">
        <v>109</v>
      </c>
      <c r="CA112" s="236" t="s">
        <v>109</v>
      </c>
      <c r="CB112" s="236" t="s">
        <v>316</v>
      </c>
      <c r="CC112" s="233">
        <v>0</v>
      </c>
      <c r="CD112" s="233">
        <v>0</v>
      </c>
      <c r="CE112" s="233">
        <v>2522.3420700000001</v>
      </c>
      <c r="CF112" s="233">
        <v>0</v>
      </c>
      <c r="CG112" s="233">
        <v>8136.2428799999998</v>
      </c>
      <c r="CH112" s="233">
        <v>272.24462</v>
      </c>
      <c r="CI112" s="233">
        <v>0</v>
      </c>
      <c r="CJ112" s="237">
        <v>0</v>
      </c>
      <c r="CK112" s="177" t="s">
        <v>128</v>
      </c>
      <c r="CL112" s="177" t="s">
        <v>128</v>
      </c>
      <c r="CM112" s="155" t="s">
        <v>109</v>
      </c>
      <c r="CN112" s="229">
        <v>0.13550000000000001</v>
      </c>
      <c r="CO112" s="229">
        <v>0.86450000000000005</v>
      </c>
      <c r="CP112" t="s">
        <v>155</v>
      </c>
      <c r="CR112" s="248"/>
    </row>
    <row r="113" spans="1:96" ht="14.4" x14ac:dyDescent="0.3">
      <c r="A113">
        <v>110</v>
      </c>
      <c r="B113" s="173" t="s">
        <v>971</v>
      </c>
      <c r="C113" s="259"/>
      <c r="D113" s="260"/>
      <c r="E113" t="s">
        <v>972</v>
      </c>
      <c r="F113" t="s">
        <v>973</v>
      </c>
      <c r="G113" s="177" t="s">
        <v>166</v>
      </c>
      <c r="H113" s="177" t="s">
        <v>113</v>
      </c>
      <c r="I113" s="177" t="s">
        <v>112</v>
      </c>
      <c r="J113" s="177" t="s">
        <v>109</v>
      </c>
      <c r="K113" s="177" t="s">
        <v>114</v>
      </c>
      <c r="L113" s="177" t="s">
        <v>393</v>
      </c>
      <c r="M113" s="177" t="s">
        <v>109</v>
      </c>
      <c r="N113" s="177" t="s">
        <v>109</v>
      </c>
      <c r="O113" s="180">
        <v>45742</v>
      </c>
      <c r="P113" s="177" t="s">
        <v>109</v>
      </c>
      <c r="Q113" s="177" t="s">
        <v>109</v>
      </c>
      <c r="R113" s="177" t="s">
        <v>109</v>
      </c>
      <c r="S113" s="177" t="s">
        <v>109</v>
      </c>
      <c r="T113" s="177" t="s">
        <v>116</v>
      </c>
      <c r="U113" s="177" t="s">
        <v>117</v>
      </c>
      <c r="V113" s="177" t="b">
        <v>0</v>
      </c>
      <c r="W113" s="177" t="s">
        <v>109</v>
      </c>
      <c r="X113" s="261"/>
      <c r="Y113" s="177" t="s">
        <v>118</v>
      </c>
      <c r="Z113" s="177" t="s">
        <v>118</v>
      </c>
      <c r="AA113" s="177" t="s">
        <v>382</v>
      </c>
      <c r="AB113" s="177" t="s">
        <v>109</v>
      </c>
      <c r="AC113" s="177">
        <v>4.3</v>
      </c>
      <c r="AD113" s="177" t="s">
        <v>109</v>
      </c>
      <c r="AE113" s="177" t="s">
        <v>970</v>
      </c>
      <c r="AF113" s="177">
        <v>1</v>
      </c>
      <c r="AG113" s="177">
        <v>13139</v>
      </c>
      <c r="AH113" s="177" t="s">
        <v>121</v>
      </c>
      <c r="AI113" s="177" t="b">
        <v>1</v>
      </c>
      <c r="AJ113" s="180">
        <v>44095</v>
      </c>
      <c r="AK113" s="177" t="s">
        <v>122</v>
      </c>
      <c r="AL113" s="177" t="s">
        <v>109</v>
      </c>
      <c r="AM113" s="177" t="s">
        <v>109</v>
      </c>
      <c r="AN113" s="177" t="b">
        <v>0</v>
      </c>
      <c r="AO113" s="177" t="s">
        <v>109</v>
      </c>
      <c r="AP113" s="177" t="s">
        <v>109</v>
      </c>
      <c r="AQ113" s="177" t="s">
        <v>118</v>
      </c>
      <c r="AR113" s="177" t="b">
        <v>0</v>
      </c>
      <c r="AS113" s="177" t="s">
        <v>123</v>
      </c>
      <c r="AT113" s="180" t="s">
        <v>123</v>
      </c>
      <c r="AU113" s="177" t="s">
        <v>124</v>
      </c>
      <c r="AV113" s="177" t="s">
        <v>109</v>
      </c>
      <c r="AW113" s="177" t="s">
        <v>118</v>
      </c>
      <c r="AX113" s="177" t="s">
        <v>118</v>
      </c>
      <c r="AY113" s="177" t="s">
        <v>109</v>
      </c>
      <c r="AZ113" s="177" t="s">
        <v>109</v>
      </c>
      <c r="BA113" s="177" t="s">
        <v>218</v>
      </c>
      <c r="BB113" s="177" t="s">
        <v>109</v>
      </c>
      <c r="BC113" s="177" t="s">
        <v>126</v>
      </c>
      <c r="BD113" s="177" t="s">
        <v>109</v>
      </c>
      <c r="BE113" s="180" t="s">
        <v>152</v>
      </c>
      <c r="BF113" s="180" t="s">
        <v>227</v>
      </c>
      <c r="BG113" s="180" t="s">
        <v>227</v>
      </c>
      <c r="BH113" s="177" t="s">
        <v>459</v>
      </c>
      <c r="BI113" s="177" t="s">
        <v>109</v>
      </c>
      <c r="BJ113" s="177" t="b">
        <v>1</v>
      </c>
      <c r="BK113" s="233">
        <v>484</v>
      </c>
      <c r="BL113" s="234" t="s">
        <v>128</v>
      </c>
      <c r="BM113" s="236">
        <v>2433.0205000000001</v>
      </c>
      <c r="BN113" s="236">
        <v>885.21768999999995</v>
      </c>
      <c r="BO113" s="236">
        <v>364.41377</v>
      </c>
      <c r="BP113" s="236">
        <v>521.53216999999995</v>
      </c>
      <c r="BQ113" s="236">
        <v>348.08712000000003</v>
      </c>
      <c r="BR113" s="236">
        <v>240.81505000000001</v>
      </c>
      <c r="BS113" s="236">
        <v>71.484650000000002</v>
      </c>
      <c r="BT113" s="236">
        <v>0</v>
      </c>
      <c r="BU113" s="236">
        <v>0</v>
      </c>
      <c r="BV113" s="236">
        <v>0</v>
      </c>
      <c r="BW113" s="236">
        <v>0</v>
      </c>
      <c r="BX113" s="236">
        <v>0</v>
      </c>
      <c r="BY113" s="234">
        <v>0</v>
      </c>
      <c r="BZ113" s="236" t="s">
        <v>109</v>
      </c>
      <c r="CA113" s="236" t="s">
        <v>109</v>
      </c>
      <c r="CB113" s="236" t="s">
        <v>196</v>
      </c>
      <c r="CC113" s="236">
        <v>0</v>
      </c>
      <c r="CD113" s="236">
        <v>0</v>
      </c>
      <c r="CE113" s="236">
        <v>0</v>
      </c>
      <c r="CF113" s="236">
        <v>0</v>
      </c>
      <c r="CG113" s="236">
        <v>2361.5358500000002</v>
      </c>
      <c r="CH113" s="236">
        <v>71.484650000000002</v>
      </c>
      <c r="CI113" s="236">
        <v>0</v>
      </c>
      <c r="CJ113" s="237">
        <v>0</v>
      </c>
      <c r="CK113" s="177" t="s">
        <v>128</v>
      </c>
      <c r="CL113" s="177" t="s">
        <v>128</v>
      </c>
      <c r="CM113" s="155" t="s">
        <v>109</v>
      </c>
      <c r="CN113" s="230">
        <v>1</v>
      </c>
      <c r="CO113" s="230">
        <v>0</v>
      </c>
      <c r="CP113" t="s">
        <v>974</v>
      </c>
      <c r="CR113" s="248"/>
    </row>
    <row r="114" spans="1:96" ht="14.4" x14ac:dyDescent="0.3">
      <c r="A114">
        <v>111</v>
      </c>
      <c r="B114" s="173" t="s">
        <v>975</v>
      </c>
      <c r="C114" s="259"/>
      <c r="D114" s="260"/>
      <c r="E114" t="s">
        <v>191</v>
      </c>
      <c r="F114" t="s">
        <v>973</v>
      </c>
      <c r="G114" s="177" t="s">
        <v>166</v>
      </c>
      <c r="H114" s="177" t="s">
        <v>113</v>
      </c>
      <c r="I114" s="177" t="s">
        <v>112</v>
      </c>
      <c r="J114" s="177" t="s">
        <v>109</v>
      </c>
      <c r="K114" s="177" t="s">
        <v>114</v>
      </c>
      <c r="L114" s="177" t="s">
        <v>393</v>
      </c>
      <c r="M114" s="177" t="s">
        <v>109</v>
      </c>
      <c r="N114" s="177" t="s">
        <v>109</v>
      </c>
      <c r="O114" s="180">
        <v>45794</v>
      </c>
      <c r="P114" s="177" t="s">
        <v>109</v>
      </c>
      <c r="Q114" s="177" t="s">
        <v>109</v>
      </c>
      <c r="R114" s="177" t="s">
        <v>109</v>
      </c>
      <c r="S114" s="177" t="s">
        <v>109</v>
      </c>
      <c r="T114" s="177" t="s">
        <v>116</v>
      </c>
      <c r="U114" s="177" t="s">
        <v>117</v>
      </c>
      <c r="V114" s="177" t="b">
        <v>0</v>
      </c>
      <c r="W114" s="177" t="s">
        <v>109</v>
      </c>
      <c r="X114" s="261"/>
      <c r="Y114" s="177" t="s">
        <v>118</v>
      </c>
      <c r="Z114" s="177" t="s">
        <v>118</v>
      </c>
      <c r="AA114" s="177" t="s">
        <v>976</v>
      </c>
      <c r="AB114" s="177" t="s">
        <v>109</v>
      </c>
      <c r="AC114" s="177">
        <v>4.3</v>
      </c>
      <c r="AD114" s="177" t="s">
        <v>109</v>
      </c>
      <c r="AE114" s="177" t="s">
        <v>970</v>
      </c>
      <c r="AF114" s="177">
        <v>1</v>
      </c>
      <c r="AG114" s="177">
        <v>13139</v>
      </c>
      <c r="AH114" s="177" t="s">
        <v>121</v>
      </c>
      <c r="AI114" s="177" t="b">
        <v>1</v>
      </c>
      <c r="AJ114" s="180">
        <v>44095</v>
      </c>
      <c r="AK114" s="177" t="s">
        <v>122</v>
      </c>
      <c r="AL114" s="177" t="s">
        <v>109</v>
      </c>
      <c r="AM114" s="177" t="s">
        <v>109</v>
      </c>
      <c r="AN114" s="177" t="b">
        <v>0</v>
      </c>
      <c r="AO114" s="177" t="s">
        <v>109</v>
      </c>
      <c r="AP114" s="177" t="s">
        <v>109</v>
      </c>
      <c r="AQ114" s="177" t="s">
        <v>118</v>
      </c>
      <c r="AR114" s="177" t="b">
        <v>0</v>
      </c>
      <c r="AS114" s="177" t="s">
        <v>123</v>
      </c>
      <c r="AT114" s="180" t="s">
        <v>123</v>
      </c>
      <c r="AU114" s="177" t="s">
        <v>124</v>
      </c>
      <c r="AV114" s="177" t="s">
        <v>109</v>
      </c>
      <c r="AW114" s="177" t="s">
        <v>118</v>
      </c>
      <c r="AX114" s="177" t="s">
        <v>118</v>
      </c>
      <c r="AY114" s="177" t="s">
        <v>109</v>
      </c>
      <c r="AZ114" s="177" t="s">
        <v>109</v>
      </c>
      <c r="BA114" s="177" t="s">
        <v>125</v>
      </c>
      <c r="BB114" s="177" t="s">
        <v>109</v>
      </c>
      <c r="BC114" s="177" t="s">
        <v>126</v>
      </c>
      <c r="BD114" s="177" t="s">
        <v>109</v>
      </c>
      <c r="BE114" s="180" t="s">
        <v>977</v>
      </c>
      <c r="BF114" s="180" t="s">
        <v>978</v>
      </c>
      <c r="BG114" s="180" t="s">
        <v>978</v>
      </c>
      <c r="BH114" s="177" t="s">
        <v>109</v>
      </c>
      <c r="BI114" s="177" t="s">
        <v>109</v>
      </c>
      <c r="BJ114" s="177" t="b">
        <v>0</v>
      </c>
      <c r="BK114" s="233">
        <v>1078</v>
      </c>
      <c r="BL114" s="234" t="s">
        <v>128</v>
      </c>
      <c r="BM114" s="236">
        <v>1463.29502</v>
      </c>
      <c r="BN114" s="236">
        <v>209.36098999999999</v>
      </c>
      <c r="BO114" s="236">
        <v>981.05397000000005</v>
      </c>
      <c r="BP114" s="236">
        <v>129.24538999999999</v>
      </c>
      <c r="BQ114" s="236">
        <v>0</v>
      </c>
      <c r="BR114" s="236">
        <v>0</v>
      </c>
      <c r="BS114" s="236">
        <v>0</v>
      </c>
      <c r="BT114" s="236">
        <v>0</v>
      </c>
      <c r="BU114" s="236">
        <v>0</v>
      </c>
      <c r="BV114" s="236">
        <v>0</v>
      </c>
      <c r="BW114" s="236">
        <v>0</v>
      </c>
      <c r="BX114" s="236">
        <v>0</v>
      </c>
      <c r="BY114" s="234">
        <v>0</v>
      </c>
      <c r="BZ114" s="236" t="s">
        <v>109</v>
      </c>
      <c r="CA114" s="236" t="s">
        <v>109</v>
      </c>
      <c r="CB114" s="236">
        <v>2022</v>
      </c>
      <c r="CC114" s="236">
        <v>0</v>
      </c>
      <c r="CD114" s="236">
        <v>0</v>
      </c>
      <c r="CE114" s="236">
        <v>1463.29502</v>
      </c>
      <c r="CF114" s="236">
        <v>0</v>
      </c>
      <c r="CG114" s="236">
        <v>0</v>
      </c>
      <c r="CH114" s="236">
        <v>0</v>
      </c>
      <c r="CI114" s="236">
        <v>0</v>
      </c>
      <c r="CJ114" s="237">
        <v>0</v>
      </c>
      <c r="CK114" s="177" t="s">
        <v>128</v>
      </c>
      <c r="CL114" s="177" t="s">
        <v>128</v>
      </c>
      <c r="CM114" s="155" t="s">
        <v>109</v>
      </c>
      <c r="CN114" s="230">
        <v>0.13550000000000001</v>
      </c>
      <c r="CO114" s="230">
        <v>0.86450000000000005</v>
      </c>
      <c r="CP114" t="s">
        <v>155</v>
      </c>
      <c r="CR114" s="248"/>
    </row>
    <row r="115" spans="1:96" ht="14.4" x14ac:dyDescent="0.3">
      <c r="A115">
        <v>112</v>
      </c>
      <c r="B115" s="173" t="s">
        <v>979</v>
      </c>
      <c r="C115" s="259"/>
      <c r="D115" s="260"/>
      <c r="E115" t="s">
        <v>109</v>
      </c>
      <c r="F115" t="s">
        <v>973</v>
      </c>
      <c r="G115" s="177" t="s">
        <v>166</v>
      </c>
      <c r="H115" s="177" t="s">
        <v>113</v>
      </c>
      <c r="I115" s="177" t="s">
        <v>112</v>
      </c>
      <c r="J115" s="177" t="s">
        <v>109</v>
      </c>
      <c r="K115" s="177" t="s">
        <v>114</v>
      </c>
      <c r="L115" s="177" t="s">
        <v>393</v>
      </c>
      <c r="M115" s="177" t="s">
        <v>109</v>
      </c>
      <c r="N115" s="177" t="s">
        <v>109</v>
      </c>
      <c r="O115" s="180" t="s">
        <v>109</v>
      </c>
      <c r="P115" s="177" t="s">
        <v>109</v>
      </c>
      <c r="Q115" s="177" t="s">
        <v>109</v>
      </c>
      <c r="R115" s="177" t="s">
        <v>109</v>
      </c>
      <c r="S115" s="177" t="s">
        <v>109</v>
      </c>
      <c r="T115" s="177" t="s">
        <v>223</v>
      </c>
      <c r="U115" s="177" t="s">
        <v>117</v>
      </c>
      <c r="V115" s="177" t="b">
        <v>0</v>
      </c>
      <c r="W115" s="177" t="s">
        <v>109</v>
      </c>
      <c r="X115" s="261"/>
      <c r="Y115" s="177" t="s">
        <v>118</v>
      </c>
      <c r="Z115" s="177" t="s">
        <v>118</v>
      </c>
      <c r="AA115" s="177" t="s">
        <v>109</v>
      </c>
      <c r="AB115" s="177" t="s">
        <v>109</v>
      </c>
      <c r="AC115" s="177">
        <v>4.3</v>
      </c>
      <c r="AD115" s="177" t="s">
        <v>109</v>
      </c>
      <c r="AE115" s="177" t="s">
        <v>970</v>
      </c>
      <c r="AF115" s="177">
        <v>1</v>
      </c>
      <c r="AG115" s="177">
        <v>13139</v>
      </c>
      <c r="AH115" s="177" t="s">
        <v>121</v>
      </c>
      <c r="AI115" s="177" t="b">
        <v>1</v>
      </c>
      <c r="AJ115" s="180">
        <v>44095</v>
      </c>
      <c r="AK115" s="177" t="s">
        <v>122</v>
      </c>
      <c r="AL115" s="177" t="s">
        <v>109</v>
      </c>
      <c r="AM115" s="177" t="s">
        <v>109</v>
      </c>
      <c r="AN115" s="177" t="b">
        <v>0</v>
      </c>
      <c r="AO115" s="177" t="s">
        <v>109</v>
      </c>
      <c r="AP115" s="177" t="s">
        <v>109</v>
      </c>
      <c r="AQ115" s="177" t="s">
        <v>118</v>
      </c>
      <c r="AR115" s="177" t="b">
        <v>0</v>
      </c>
      <c r="AS115" s="177" t="s">
        <v>123</v>
      </c>
      <c r="AT115" s="180" t="s">
        <v>123</v>
      </c>
      <c r="AU115" s="177" t="s">
        <v>124</v>
      </c>
      <c r="AV115" s="177" t="s">
        <v>109</v>
      </c>
      <c r="AW115" s="177" t="s">
        <v>118</v>
      </c>
      <c r="AX115" s="177" t="s">
        <v>118</v>
      </c>
      <c r="AY115" s="177" t="s">
        <v>109</v>
      </c>
      <c r="AZ115" s="177" t="s">
        <v>109</v>
      </c>
      <c r="BA115" s="177" t="s">
        <v>125</v>
      </c>
      <c r="BB115" s="177" t="s">
        <v>109</v>
      </c>
      <c r="BC115" s="177" t="s">
        <v>980</v>
      </c>
      <c r="BD115" s="177" t="s">
        <v>109</v>
      </c>
      <c r="BE115" s="180" t="s">
        <v>109</v>
      </c>
      <c r="BF115" s="180" t="s">
        <v>227</v>
      </c>
      <c r="BG115" s="180">
        <v>46022</v>
      </c>
      <c r="BH115" s="177" t="s">
        <v>109</v>
      </c>
      <c r="BI115" s="177" t="s">
        <v>109</v>
      </c>
      <c r="BJ115" s="177" t="b">
        <v>1</v>
      </c>
      <c r="BK115" s="233">
        <v>441.12400000000002</v>
      </c>
      <c r="BL115" s="234" t="s">
        <v>128</v>
      </c>
      <c r="BM115" s="236">
        <v>4663.6660099999999</v>
      </c>
      <c r="BN115" s="236">
        <v>615.10942</v>
      </c>
      <c r="BO115" s="236">
        <v>1076.84007</v>
      </c>
      <c r="BP115" s="236">
        <v>790.98078999999996</v>
      </c>
      <c r="BQ115" s="236">
        <v>841.32929999999999</v>
      </c>
      <c r="BR115" s="236">
        <v>652.97419000000002</v>
      </c>
      <c r="BS115" s="236">
        <v>139.91967</v>
      </c>
      <c r="BT115" s="236">
        <v>0</v>
      </c>
      <c r="BU115" s="236">
        <v>0</v>
      </c>
      <c r="BV115" s="236">
        <v>0</v>
      </c>
      <c r="BW115" s="236">
        <v>0</v>
      </c>
      <c r="BX115" s="236">
        <v>0</v>
      </c>
      <c r="BY115" s="234">
        <v>0</v>
      </c>
      <c r="BZ115" s="236" t="s">
        <v>109</v>
      </c>
      <c r="CA115" s="236" t="s">
        <v>109</v>
      </c>
      <c r="CB115" s="236" t="s">
        <v>196</v>
      </c>
      <c r="CC115" s="236">
        <v>0</v>
      </c>
      <c r="CD115" s="236">
        <v>0</v>
      </c>
      <c r="CE115" s="236">
        <v>0</v>
      </c>
      <c r="CF115" s="236">
        <v>0</v>
      </c>
      <c r="CG115" s="236">
        <v>4523.7463399999997</v>
      </c>
      <c r="CH115" s="236">
        <v>139.91967</v>
      </c>
      <c r="CI115" s="236">
        <v>0</v>
      </c>
      <c r="CJ115" s="237">
        <v>0</v>
      </c>
      <c r="CK115" s="177" t="s">
        <v>128</v>
      </c>
      <c r="CL115" s="177" t="s">
        <v>128</v>
      </c>
      <c r="CM115" s="155" t="s">
        <v>109</v>
      </c>
      <c r="CN115" s="230">
        <v>0</v>
      </c>
      <c r="CO115" s="230">
        <v>0</v>
      </c>
      <c r="CP115" t="s">
        <v>155</v>
      </c>
      <c r="CR115" s="248"/>
    </row>
    <row r="116" spans="1:96" ht="14.4" x14ac:dyDescent="0.3">
      <c r="A116">
        <v>113</v>
      </c>
      <c r="B116" s="173" t="s">
        <v>981</v>
      </c>
      <c r="C116" s="259"/>
      <c r="D116" s="260"/>
      <c r="E116" t="s">
        <v>191</v>
      </c>
      <c r="F116" t="s">
        <v>973</v>
      </c>
      <c r="G116" s="177" t="s">
        <v>111</v>
      </c>
      <c r="H116" s="177" t="s">
        <v>112</v>
      </c>
      <c r="I116" s="177" t="s">
        <v>112</v>
      </c>
      <c r="J116" s="177" t="s">
        <v>109</v>
      </c>
      <c r="K116" s="177" t="s">
        <v>114</v>
      </c>
      <c r="L116" s="177" t="s">
        <v>393</v>
      </c>
      <c r="M116" s="177" t="s">
        <v>194</v>
      </c>
      <c r="N116" s="177" t="s">
        <v>194</v>
      </c>
      <c r="O116" s="180">
        <v>45786</v>
      </c>
      <c r="P116" s="177" t="s">
        <v>109</v>
      </c>
      <c r="Q116" s="177" t="s">
        <v>109</v>
      </c>
      <c r="R116" s="177" t="s">
        <v>109</v>
      </c>
      <c r="S116" s="177" t="s">
        <v>109</v>
      </c>
      <c r="T116" s="177" t="s">
        <v>982</v>
      </c>
      <c r="U116" s="177" t="s">
        <v>117</v>
      </c>
      <c r="V116" s="177" t="b">
        <v>0</v>
      </c>
      <c r="W116" s="177" t="s">
        <v>109</v>
      </c>
      <c r="X116" s="261"/>
      <c r="Y116" s="177" t="s">
        <v>118</v>
      </c>
      <c r="Z116" s="176">
        <v>40.94</v>
      </c>
      <c r="AA116" s="177" t="s">
        <v>983</v>
      </c>
      <c r="AB116" s="177" t="s">
        <v>109</v>
      </c>
      <c r="AC116" s="177">
        <v>4.3</v>
      </c>
      <c r="AD116" s="177" t="s">
        <v>109</v>
      </c>
      <c r="AE116" s="177" t="s">
        <v>970</v>
      </c>
      <c r="AF116" s="177">
        <v>1</v>
      </c>
      <c r="AG116" s="177">
        <v>13139</v>
      </c>
      <c r="AH116" s="177" t="s">
        <v>121</v>
      </c>
      <c r="AI116" s="177" t="b">
        <v>1</v>
      </c>
      <c r="AJ116" s="180">
        <v>44095</v>
      </c>
      <c r="AK116" s="177" t="s">
        <v>122</v>
      </c>
      <c r="AL116" s="177" t="s">
        <v>109</v>
      </c>
      <c r="AM116" s="177" t="s">
        <v>109</v>
      </c>
      <c r="AN116" s="179" t="b">
        <v>0</v>
      </c>
      <c r="AO116" s="177" t="s">
        <v>109</v>
      </c>
      <c r="AP116" s="177" t="s">
        <v>109</v>
      </c>
      <c r="AQ116" s="177" t="s">
        <v>109</v>
      </c>
      <c r="AR116" s="177" t="s">
        <v>984</v>
      </c>
      <c r="AS116" s="177" t="s">
        <v>123</v>
      </c>
      <c r="AT116" s="180" t="s">
        <v>109</v>
      </c>
      <c r="AU116" s="177" t="s">
        <v>124</v>
      </c>
      <c r="AV116" s="177" t="s">
        <v>109</v>
      </c>
      <c r="AW116" s="177" t="s">
        <v>195</v>
      </c>
      <c r="AX116" s="177" t="s">
        <v>109</v>
      </c>
      <c r="AY116" s="177" t="s">
        <v>109</v>
      </c>
      <c r="AZ116" s="177" t="s">
        <v>109</v>
      </c>
      <c r="BA116" s="177" t="s">
        <v>125</v>
      </c>
      <c r="BB116" s="177" t="s">
        <v>109</v>
      </c>
      <c r="BC116" s="177" t="s">
        <v>126</v>
      </c>
      <c r="BD116" s="177" t="s">
        <v>109</v>
      </c>
      <c r="BE116" s="181" t="s">
        <v>977</v>
      </c>
      <c r="BF116" s="180" t="s">
        <v>227</v>
      </c>
      <c r="BG116" s="180" t="s">
        <v>227</v>
      </c>
      <c r="BH116" s="177" t="s">
        <v>459</v>
      </c>
      <c r="BI116" s="177" t="s">
        <v>109</v>
      </c>
      <c r="BJ116" s="177" t="b">
        <v>1</v>
      </c>
      <c r="BK116" s="233">
        <v>198</v>
      </c>
      <c r="BL116" s="234" t="s">
        <v>128</v>
      </c>
      <c r="BM116" s="236">
        <v>1311.80099</v>
      </c>
      <c r="BN116" s="236">
        <v>133.22723999999999</v>
      </c>
      <c r="BO116" s="236">
        <v>310.91426000000001</v>
      </c>
      <c r="BP116" s="236">
        <v>260.80835999999999</v>
      </c>
      <c r="BQ116" s="236">
        <v>163.53107</v>
      </c>
      <c r="BR116" s="236">
        <v>158.12743</v>
      </c>
      <c r="BS116" s="236">
        <v>60.840299999999999</v>
      </c>
      <c r="BT116" s="236">
        <v>0</v>
      </c>
      <c r="BU116" s="236">
        <v>0</v>
      </c>
      <c r="BV116" s="236">
        <v>0</v>
      </c>
      <c r="BW116" s="236">
        <v>0</v>
      </c>
      <c r="BX116" s="236">
        <v>0</v>
      </c>
      <c r="BY116" s="234">
        <v>0</v>
      </c>
      <c r="BZ116" s="236" t="s">
        <v>109</v>
      </c>
      <c r="CA116" s="236" t="s">
        <v>109</v>
      </c>
      <c r="CB116" s="236" t="s">
        <v>196</v>
      </c>
      <c r="CC116" s="236">
        <v>0</v>
      </c>
      <c r="CD116" s="236">
        <v>0</v>
      </c>
      <c r="CE116" s="236">
        <v>0</v>
      </c>
      <c r="CF116" s="236">
        <v>0</v>
      </c>
      <c r="CG116" s="236">
        <v>1250.9606900000001</v>
      </c>
      <c r="CH116" s="236">
        <v>60.840299999999999</v>
      </c>
      <c r="CI116" s="236">
        <v>0</v>
      </c>
      <c r="CJ116" s="237">
        <v>0</v>
      </c>
      <c r="CK116" s="237">
        <v>0</v>
      </c>
      <c r="CL116" s="177" t="s">
        <v>128</v>
      </c>
      <c r="CM116" s="155" t="s">
        <v>109</v>
      </c>
      <c r="CN116" s="230">
        <v>1</v>
      </c>
      <c r="CO116" s="230">
        <v>0</v>
      </c>
      <c r="CP116" t="s">
        <v>155</v>
      </c>
      <c r="CR116" s="248"/>
    </row>
    <row r="117" spans="1:96" ht="14.4" x14ac:dyDescent="0.3">
      <c r="A117">
        <v>114</v>
      </c>
      <c r="B117" s="173" t="s">
        <v>985</v>
      </c>
      <c r="C117" s="259"/>
      <c r="D117" s="260"/>
      <c r="E117" t="s">
        <v>483</v>
      </c>
      <c r="F117" t="s">
        <v>973</v>
      </c>
      <c r="G117" s="177" t="s">
        <v>111</v>
      </c>
      <c r="H117" s="177" t="s">
        <v>113</v>
      </c>
      <c r="I117" s="177" t="s">
        <v>109</v>
      </c>
      <c r="J117" s="177" t="s">
        <v>109</v>
      </c>
      <c r="K117" s="177" t="s">
        <v>114</v>
      </c>
      <c r="L117" s="177" t="s">
        <v>393</v>
      </c>
      <c r="M117" s="177" t="s">
        <v>109</v>
      </c>
      <c r="N117" s="177" t="s">
        <v>109</v>
      </c>
      <c r="O117" s="180">
        <v>45769</v>
      </c>
      <c r="P117" s="177" t="s">
        <v>109</v>
      </c>
      <c r="Q117" s="177" t="s">
        <v>109</v>
      </c>
      <c r="R117" s="177" t="s">
        <v>109</v>
      </c>
      <c r="S117" s="177" t="s">
        <v>109</v>
      </c>
      <c r="T117" s="177" t="s">
        <v>116</v>
      </c>
      <c r="U117" s="177" t="s">
        <v>117</v>
      </c>
      <c r="V117" s="177" t="b">
        <v>0</v>
      </c>
      <c r="W117" s="177" t="s">
        <v>109</v>
      </c>
      <c r="X117" s="261"/>
      <c r="Y117" s="177" t="s">
        <v>118</v>
      </c>
      <c r="Z117" s="176">
        <v>6.12</v>
      </c>
      <c r="AA117" s="177" t="s">
        <v>986</v>
      </c>
      <c r="AB117" s="177" t="s">
        <v>109</v>
      </c>
      <c r="AC117" s="177">
        <v>4.3</v>
      </c>
      <c r="AD117" s="177" t="s">
        <v>109</v>
      </c>
      <c r="AE117" s="177" t="s">
        <v>970</v>
      </c>
      <c r="AF117" s="177">
        <v>1</v>
      </c>
      <c r="AG117" s="177">
        <v>13139</v>
      </c>
      <c r="AH117" s="177" t="s">
        <v>121</v>
      </c>
      <c r="AI117" s="177" t="b">
        <v>1</v>
      </c>
      <c r="AJ117" s="180">
        <v>44095</v>
      </c>
      <c r="AK117" s="177" t="s">
        <v>122</v>
      </c>
      <c r="AL117" s="177" t="s">
        <v>109</v>
      </c>
      <c r="AM117" s="177" t="s">
        <v>109</v>
      </c>
      <c r="AN117" s="179" t="b">
        <v>0</v>
      </c>
      <c r="AO117" s="177" t="s">
        <v>109</v>
      </c>
      <c r="AP117" s="177" t="s">
        <v>109</v>
      </c>
      <c r="AQ117" s="177" t="s">
        <v>109</v>
      </c>
      <c r="AR117" s="177" t="b">
        <v>0</v>
      </c>
      <c r="AS117" s="177" t="s">
        <v>123</v>
      </c>
      <c r="AT117" s="180" t="s">
        <v>109</v>
      </c>
      <c r="AU117" s="177" t="s">
        <v>124</v>
      </c>
      <c r="AV117" s="177" t="s">
        <v>109</v>
      </c>
      <c r="AW117" s="177" t="s">
        <v>195</v>
      </c>
      <c r="AX117" s="177" t="s">
        <v>109</v>
      </c>
      <c r="AY117" s="177" t="s">
        <v>109</v>
      </c>
      <c r="AZ117" s="177" t="s">
        <v>109</v>
      </c>
      <c r="BA117" s="177" t="s">
        <v>218</v>
      </c>
      <c r="BB117" s="177" t="s">
        <v>109</v>
      </c>
      <c r="BC117" s="177" t="s">
        <v>126</v>
      </c>
      <c r="BD117" s="177" t="s">
        <v>109</v>
      </c>
      <c r="BE117" s="181" t="s">
        <v>977</v>
      </c>
      <c r="BF117" s="180" t="s">
        <v>227</v>
      </c>
      <c r="BG117" s="180" t="s">
        <v>227</v>
      </c>
      <c r="BH117" s="177" t="s">
        <v>459</v>
      </c>
      <c r="BI117" s="177" t="s">
        <v>326</v>
      </c>
      <c r="BJ117" s="177" t="b">
        <v>1</v>
      </c>
      <c r="BK117" s="233">
        <v>902</v>
      </c>
      <c r="BL117" s="234" t="s">
        <v>128</v>
      </c>
      <c r="BM117" s="236">
        <v>1019.55288</v>
      </c>
      <c r="BN117" s="236">
        <v>0</v>
      </c>
      <c r="BO117" s="236">
        <v>557.82343000000003</v>
      </c>
      <c r="BP117" s="236">
        <v>162.00836000000001</v>
      </c>
      <c r="BQ117" s="236">
        <v>93.986059999999995</v>
      </c>
      <c r="BR117" s="236">
        <v>140.01718</v>
      </c>
      <c r="BS117" s="236">
        <v>65.717849999999999</v>
      </c>
      <c r="BT117" s="236">
        <v>0</v>
      </c>
      <c r="BU117" s="236">
        <v>0</v>
      </c>
      <c r="BV117" s="236">
        <v>0</v>
      </c>
      <c r="BW117" s="236">
        <v>0</v>
      </c>
      <c r="BX117" s="236">
        <v>0</v>
      </c>
      <c r="BY117" s="234">
        <v>0</v>
      </c>
      <c r="BZ117" s="236" t="s">
        <v>109</v>
      </c>
      <c r="CA117" s="236" t="s">
        <v>109</v>
      </c>
      <c r="CB117" s="236" t="s">
        <v>196</v>
      </c>
      <c r="CC117" s="236">
        <v>0</v>
      </c>
      <c r="CD117" s="236">
        <v>0</v>
      </c>
      <c r="CE117" s="236">
        <v>0</v>
      </c>
      <c r="CF117" s="236">
        <v>0</v>
      </c>
      <c r="CG117" s="236">
        <v>953.83502999999996</v>
      </c>
      <c r="CH117" s="236">
        <v>65.717849999999999</v>
      </c>
      <c r="CI117" s="236">
        <v>0</v>
      </c>
      <c r="CJ117" s="237">
        <v>0</v>
      </c>
      <c r="CK117" s="237">
        <v>0</v>
      </c>
      <c r="CL117" s="177" t="s">
        <v>128</v>
      </c>
      <c r="CM117" s="155" t="s">
        <v>109</v>
      </c>
      <c r="CN117" s="230">
        <v>0.13550000000000001</v>
      </c>
      <c r="CO117" s="230">
        <v>0.86450000000000005</v>
      </c>
      <c r="CP117" t="s">
        <v>155</v>
      </c>
      <c r="CR117" s="248"/>
    </row>
    <row r="118" spans="1:96" ht="14.4" x14ac:dyDescent="0.3">
      <c r="A118">
        <v>115</v>
      </c>
      <c r="B118" s="173" t="s">
        <v>987</v>
      </c>
      <c r="C118" s="259"/>
      <c r="D118" s="260"/>
      <c r="E118" t="s">
        <v>329</v>
      </c>
      <c r="F118" t="s">
        <v>988</v>
      </c>
      <c r="G118" s="177" t="s">
        <v>111</v>
      </c>
      <c r="H118" s="177" t="s">
        <v>113</v>
      </c>
      <c r="I118" s="177" t="s">
        <v>112</v>
      </c>
      <c r="J118" s="177" t="s">
        <v>109</v>
      </c>
      <c r="K118" s="177" t="s">
        <v>114</v>
      </c>
      <c r="L118" s="177" t="s">
        <v>115</v>
      </c>
      <c r="M118" s="177" t="s">
        <v>109</v>
      </c>
      <c r="N118" s="177" t="s">
        <v>109</v>
      </c>
      <c r="O118" s="180">
        <v>45779</v>
      </c>
      <c r="P118" s="177" t="s">
        <v>989</v>
      </c>
      <c r="Q118" s="177" t="s">
        <v>109</v>
      </c>
      <c r="R118" s="177" t="s">
        <v>342</v>
      </c>
      <c r="S118" s="177" t="s">
        <v>109</v>
      </c>
      <c r="T118" s="177" t="s">
        <v>116</v>
      </c>
      <c r="U118" s="177" t="s">
        <v>117</v>
      </c>
      <c r="V118" s="177" t="b">
        <v>0</v>
      </c>
      <c r="W118" s="177" t="s">
        <v>109</v>
      </c>
      <c r="X118" s="261"/>
      <c r="Y118" s="177">
        <v>0.120462</v>
      </c>
      <c r="Z118" s="177" t="s">
        <v>118</v>
      </c>
      <c r="AA118" s="177">
        <v>69</v>
      </c>
      <c r="AB118" s="177" t="s">
        <v>990</v>
      </c>
      <c r="AC118" s="177">
        <v>4.0999999999999996</v>
      </c>
      <c r="AD118" s="177" t="s">
        <v>991</v>
      </c>
      <c r="AE118" s="177" t="s">
        <v>992</v>
      </c>
      <c r="AF118" s="177">
        <v>1</v>
      </c>
      <c r="AG118" s="177">
        <v>13242</v>
      </c>
      <c r="AH118" s="177" t="s">
        <v>121</v>
      </c>
      <c r="AI118" s="177" t="b">
        <v>1</v>
      </c>
      <c r="AJ118" s="180">
        <v>44504</v>
      </c>
      <c r="AK118" s="177" t="s">
        <v>122</v>
      </c>
      <c r="AL118" s="177">
        <v>2015</v>
      </c>
      <c r="AM118" s="177" t="s">
        <v>109</v>
      </c>
      <c r="AN118" s="177" t="b">
        <v>0</v>
      </c>
      <c r="AO118" s="177" t="s">
        <v>109</v>
      </c>
      <c r="AP118" s="177" t="s">
        <v>109</v>
      </c>
      <c r="AQ118" s="177" t="s">
        <v>118</v>
      </c>
      <c r="AR118" s="177" t="b">
        <v>0</v>
      </c>
      <c r="AS118" s="177" t="s">
        <v>123</v>
      </c>
      <c r="AT118" s="180" t="s">
        <v>123</v>
      </c>
      <c r="AU118" s="177" t="s">
        <v>124</v>
      </c>
      <c r="AV118" s="177" t="s">
        <v>109</v>
      </c>
      <c r="AW118" s="177" t="s">
        <v>118</v>
      </c>
      <c r="AX118" s="177" t="s">
        <v>118</v>
      </c>
      <c r="AY118" s="177" t="s">
        <v>135</v>
      </c>
      <c r="AZ118" s="177" t="s">
        <v>109</v>
      </c>
      <c r="BA118" s="177" t="s">
        <v>125</v>
      </c>
      <c r="BB118" s="177" t="s">
        <v>109</v>
      </c>
      <c r="BC118" s="177" t="s">
        <v>126</v>
      </c>
      <c r="BD118" s="177" t="s">
        <v>109</v>
      </c>
      <c r="BE118" s="180" t="s">
        <v>993</v>
      </c>
      <c r="BF118" s="180" t="s">
        <v>994</v>
      </c>
      <c r="BG118" s="180" t="s">
        <v>995</v>
      </c>
      <c r="BH118" s="177" t="s">
        <v>109</v>
      </c>
      <c r="BI118" s="177" t="s">
        <v>109</v>
      </c>
      <c r="BJ118" s="177" t="b">
        <v>0</v>
      </c>
      <c r="BK118" s="233">
        <v>25750</v>
      </c>
      <c r="BL118" s="234" t="s">
        <v>128</v>
      </c>
      <c r="BM118" s="254">
        <v>20998.231</v>
      </c>
      <c r="BN118" s="254">
        <v>217.43849369999998</v>
      </c>
      <c r="BO118" s="254">
        <v>14.8607587</v>
      </c>
      <c r="BP118" s="254">
        <v>0</v>
      </c>
      <c r="BQ118" s="254">
        <v>0</v>
      </c>
      <c r="BR118" s="254">
        <v>0</v>
      </c>
      <c r="BS118" s="254">
        <v>0</v>
      </c>
      <c r="BT118" s="254">
        <v>0</v>
      </c>
      <c r="BU118" s="254">
        <v>0</v>
      </c>
      <c r="BV118" s="254">
        <v>0</v>
      </c>
      <c r="BW118" s="254">
        <v>0</v>
      </c>
      <c r="BX118" s="254">
        <v>0</v>
      </c>
      <c r="BY118" s="255">
        <v>0</v>
      </c>
      <c r="BZ118" s="236" t="s">
        <v>109</v>
      </c>
      <c r="CA118" s="236" t="s">
        <v>109</v>
      </c>
      <c r="CB118" s="236" t="s">
        <v>189</v>
      </c>
      <c r="CC118" s="254">
        <v>217.43849369999998</v>
      </c>
      <c r="CD118" s="254">
        <v>14.8607587</v>
      </c>
      <c r="CE118" s="254">
        <v>0</v>
      </c>
      <c r="CF118" s="254">
        <v>0</v>
      </c>
      <c r="CG118" s="254">
        <v>0</v>
      </c>
      <c r="CH118" s="254">
        <v>0</v>
      </c>
      <c r="CI118" s="254">
        <v>0</v>
      </c>
      <c r="CJ118" s="237">
        <v>0</v>
      </c>
      <c r="CK118" s="177" t="s">
        <v>128</v>
      </c>
      <c r="CL118" s="177" t="s">
        <v>128</v>
      </c>
      <c r="CM118" s="155" t="s">
        <v>109</v>
      </c>
      <c r="CN118" s="229">
        <v>0</v>
      </c>
      <c r="CO118" s="229">
        <v>1</v>
      </c>
      <c r="CP118" t="s">
        <v>155</v>
      </c>
      <c r="CR118" s="248"/>
    </row>
    <row r="119" spans="1:96" ht="14.4" x14ac:dyDescent="0.3">
      <c r="A119">
        <v>116</v>
      </c>
      <c r="B119" s="173" t="s">
        <v>996</v>
      </c>
      <c r="C119" s="259"/>
      <c r="D119" s="260"/>
      <c r="E119" t="s">
        <v>329</v>
      </c>
      <c r="F119" t="s">
        <v>997</v>
      </c>
      <c r="G119" s="177" t="s">
        <v>503</v>
      </c>
      <c r="H119" s="177" t="s">
        <v>113</v>
      </c>
      <c r="I119" s="177" t="s">
        <v>112</v>
      </c>
      <c r="J119" s="177" t="s">
        <v>109</v>
      </c>
      <c r="K119" s="177" t="s">
        <v>114</v>
      </c>
      <c r="L119" s="177" t="s">
        <v>251</v>
      </c>
      <c r="M119" s="177" t="s">
        <v>109</v>
      </c>
      <c r="N119" s="177" t="s">
        <v>109</v>
      </c>
      <c r="O119" s="180">
        <v>45761</v>
      </c>
      <c r="P119" s="177" t="s">
        <v>998</v>
      </c>
      <c r="Q119" s="177" t="s">
        <v>109</v>
      </c>
      <c r="R119" s="177" t="s">
        <v>109</v>
      </c>
      <c r="S119" s="177" t="s">
        <v>109</v>
      </c>
      <c r="T119" s="177" t="s">
        <v>116</v>
      </c>
      <c r="U119" s="177" t="s">
        <v>117</v>
      </c>
      <c r="V119" s="177" t="b">
        <v>0</v>
      </c>
      <c r="W119" s="177" t="s">
        <v>109</v>
      </c>
      <c r="X119" s="261"/>
      <c r="Y119" s="177" t="s">
        <v>118</v>
      </c>
      <c r="Z119" s="177">
        <v>0.38815699999999997</v>
      </c>
      <c r="AA119" s="177">
        <v>69</v>
      </c>
      <c r="AB119" s="177" t="s">
        <v>999</v>
      </c>
      <c r="AC119" s="177">
        <v>4.2</v>
      </c>
      <c r="AD119" s="177" t="s">
        <v>1000</v>
      </c>
      <c r="AE119" s="177" t="s">
        <v>1001</v>
      </c>
      <c r="AF119" s="177">
        <v>1</v>
      </c>
      <c r="AG119" s="177">
        <v>13244</v>
      </c>
      <c r="AH119" s="177" t="s">
        <v>121</v>
      </c>
      <c r="AI119" s="177" t="b">
        <v>1</v>
      </c>
      <c r="AJ119" s="180">
        <v>43818</v>
      </c>
      <c r="AK119" s="177" t="s">
        <v>122</v>
      </c>
      <c r="AL119" s="177">
        <v>2015</v>
      </c>
      <c r="AM119" s="177" t="s">
        <v>109</v>
      </c>
      <c r="AN119" s="177" t="b">
        <v>0</v>
      </c>
      <c r="AO119" s="177" t="s">
        <v>109</v>
      </c>
      <c r="AP119" s="177" t="s">
        <v>109</v>
      </c>
      <c r="AQ119" s="177" t="s">
        <v>118</v>
      </c>
      <c r="AR119" s="177" t="b">
        <v>0</v>
      </c>
      <c r="AS119" s="177" t="s">
        <v>109</v>
      </c>
      <c r="AT119" s="180" t="s">
        <v>118</v>
      </c>
      <c r="AU119" s="177" t="s">
        <v>124</v>
      </c>
      <c r="AV119" s="177" t="s">
        <v>539</v>
      </c>
      <c r="AW119" s="177" t="s">
        <v>226</v>
      </c>
      <c r="AX119" s="177" t="s">
        <v>118</v>
      </c>
      <c r="AY119" s="177" t="s">
        <v>135</v>
      </c>
      <c r="AZ119" s="177" t="s">
        <v>109</v>
      </c>
      <c r="BA119" s="177" t="s">
        <v>218</v>
      </c>
      <c r="BB119" s="177" t="s">
        <v>109</v>
      </c>
      <c r="BC119" s="177" t="s">
        <v>1002</v>
      </c>
      <c r="BD119" s="177" t="s">
        <v>109</v>
      </c>
      <c r="BE119" s="180" t="s">
        <v>1003</v>
      </c>
      <c r="BF119" s="180" t="s">
        <v>1004</v>
      </c>
      <c r="BG119" s="180" t="s">
        <v>1005</v>
      </c>
      <c r="BH119" s="177" t="s">
        <v>109</v>
      </c>
      <c r="BI119" s="177" t="s">
        <v>109</v>
      </c>
      <c r="BJ119" s="177" t="b">
        <v>1</v>
      </c>
      <c r="BK119" s="233">
        <v>543</v>
      </c>
      <c r="BL119" s="234" t="s">
        <v>128</v>
      </c>
      <c r="BM119" s="254">
        <v>47097.332000000002</v>
      </c>
      <c r="BN119" s="254">
        <v>1552.0545099999997</v>
      </c>
      <c r="BO119" s="254">
        <v>761.44167800000002</v>
      </c>
      <c r="BP119" s="254">
        <v>3181.6007623</v>
      </c>
      <c r="BQ119" s="254">
        <v>2184.3821636000002</v>
      </c>
      <c r="BR119" s="254">
        <v>10982.469150000001</v>
      </c>
      <c r="BS119" s="254">
        <v>2058.5508439999999</v>
      </c>
      <c r="BT119" s="254">
        <v>8887.4922338999986</v>
      </c>
      <c r="BU119" s="254">
        <v>9689.5254498000013</v>
      </c>
      <c r="BV119" s="254">
        <v>2443.0265167000002</v>
      </c>
      <c r="BW119" s="254">
        <v>0</v>
      </c>
      <c r="BX119" s="254">
        <v>0</v>
      </c>
      <c r="BY119" s="255">
        <v>26077.288</v>
      </c>
      <c r="BZ119" s="236" t="s">
        <v>109</v>
      </c>
      <c r="CA119" s="236" t="s">
        <v>109</v>
      </c>
      <c r="CB119" s="236" t="s">
        <v>263</v>
      </c>
      <c r="CC119" s="254">
        <v>0</v>
      </c>
      <c r="CD119" s="254">
        <v>3622.8086200000002</v>
      </c>
      <c r="CE119" s="254">
        <v>299.66370000000001</v>
      </c>
      <c r="CF119" s="254">
        <v>33.772300000000001</v>
      </c>
      <c r="CG119" s="254">
        <v>0</v>
      </c>
      <c r="CH119" s="254">
        <v>-2.2200000000000001E-5</v>
      </c>
      <c r="CI119" s="254">
        <v>30727.853634499996</v>
      </c>
      <c r="CJ119" s="237">
        <v>0</v>
      </c>
      <c r="CK119" s="177" t="s">
        <v>128</v>
      </c>
      <c r="CL119" s="177">
        <v>5.39</v>
      </c>
      <c r="CM119" s="155" t="s">
        <v>109</v>
      </c>
      <c r="CN119" s="229">
        <v>0</v>
      </c>
      <c r="CO119" s="229">
        <v>1</v>
      </c>
      <c r="CP119" t="s">
        <v>1006</v>
      </c>
      <c r="CR119" s="248"/>
    </row>
    <row r="120" spans="1:96" ht="14.4" x14ac:dyDescent="0.3">
      <c r="A120">
        <v>117</v>
      </c>
      <c r="B120" s="173" t="s">
        <v>1007</v>
      </c>
      <c r="C120" s="259"/>
      <c r="D120" s="260"/>
      <c r="E120" t="s">
        <v>191</v>
      </c>
      <c r="F120" t="s">
        <v>1008</v>
      </c>
      <c r="G120" s="177" t="s">
        <v>1009</v>
      </c>
      <c r="H120" s="177" t="s">
        <v>109</v>
      </c>
      <c r="I120" s="177" t="s">
        <v>109</v>
      </c>
      <c r="J120" s="177" t="s">
        <v>109</v>
      </c>
      <c r="K120" s="177" t="s">
        <v>192</v>
      </c>
      <c r="L120" s="177" t="s">
        <v>1010</v>
      </c>
      <c r="M120" s="177" t="s">
        <v>706</v>
      </c>
      <c r="N120" s="177" t="s">
        <v>109</v>
      </c>
      <c r="O120" s="180">
        <v>45786</v>
      </c>
      <c r="P120" s="177" t="s">
        <v>109</v>
      </c>
      <c r="Q120" s="177" t="s">
        <v>1011</v>
      </c>
      <c r="R120" s="177" t="s">
        <v>1012</v>
      </c>
      <c r="S120" s="177" t="s">
        <v>109</v>
      </c>
      <c r="T120" s="177" t="s">
        <v>310</v>
      </c>
      <c r="U120" s="177" t="s">
        <v>117</v>
      </c>
      <c r="V120" s="177" t="b">
        <v>0</v>
      </c>
      <c r="W120" s="177" t="s">
        <v>109</v>
      </c>
      <c r="X120" s="261"/>
      <c r="Y120" s="177" t="s">
        <v>118</v>
      </c>
      <c r="Z120" s="177">
        <v>40.941184999999997</v>
      </c>
      <c r="AA120" s="177">
        <v>230</v>
      </c>
      <c r="AB120" s="177" t="s">
        <v>1013</v>
      </c>
      <c r="AC120" s="177">
        <v>2.1</v>
      </c>
      <c r="AD120" s="177" t="s">
        <v>1014</v>
      </c>
      <c r="AE120" s="177" t="s">
        <v>1015</v>
      </c>
      <c r="AF120" s="177">
        <v>1</v>
      </c>
      <c r="AG120" s="177">
        <v>14126</v>
      </c>
      <c r="AH120" s="177" t="s">
        <v>121</v>
      </c>
      <c r="AI120" s="177" t="b">
        <v>0</v>
      </c>
      <c r="AJ120" s="180" t="s">
        <v>109</v>
      </c>
      <c r="AK120" s="177" t="s">
        <v>122</v>
      </c>
      <c r="AL120" s="177">
        <v>2015</v>
      </c>
      <c r="AM120" s="177">
        <v>2014</v>
      </c>
      <c r="AN120" s="177" t="b">
        <v>1</v>
      </c>
      <c r="AO120" s="177">
        <v>2014</v>
      </c>
      <c r="AP120" s="177" t="s">
        <v>109</v>
      </c>
      <c r="AQ120" s="177" t="s">
        <v>766</v>
      </c>
      <c r="AR120" s="177" t="b">
        <v>0</v>
      </c>
      <c r="AS120" s="177" t="s">
        <v>109</v>
      </c>
      <c r="AT120" s="180" t="s">
        <v>118</v>
      </c>
      <c r="AU120" s="177" t="s">
        <v>109</v>
      </c>
      <c r="AV120" s="177" t="s">
        <v>109</v>
      </c>
      <c r="AW120" s="177" t="s">
        <v>118</v>
      </c>
      <c r="AX120" s="177" t="s">
        <v>118</v>
      </c>
      <c r="AY120" s="177" t="s">
        <v>516</v>
      </c>
      <c r="AZ120" s="177" t="s">
        <v>1016</v>
      </c>
      <c r="BA120" s="177" t="s">
        <v>494</v>
      </c>
      <c r="BB120" s="177">
        <v>2018</v>
      </c>
      <c r="BC120" s="177" t="s">
        <v>126</v>
      </c>
      <c r="BD120" s="177" t="s">
        <v>109</v>
      </c>
      <c r="BE120" s="180" t="s">
        <v>1017</v>
      </c>
      <c r="BF120" s="180" t="s">
        <v>1018</v>
      </c>
      <c r="BG120" s="180" t="s">
        <v>1019</v>
      </c>
      <c r="BH120" s="177" t="s">
        <v>699</v>
      </c>
      <c r="BI120" s="177" t="s">
        <v>893</v>
      </c>
      <c r="BJ120" s="177" t="b">
        <v>0</v>
      </c>
      <c r="BK120" s="233">
        <v>798</v>
      </c>
      <c r="BL120" s="234" t="s">
        <v>128</v>
      </c>
      <c r="BM120" s="254">
        <v>3718.5079999999998</v>
      </c>
      <c r="BN120" s="254">
        <v>497.49852429999999</v>
      </c>
      <c r="BO120" s="254">
        <v>28.923668200000002</v>
      </c>
      <c r="BP120" s="254">
        <v>0</v>
      </c>
      <c r="BQ120" s="254">
        <v>0</v>
      </c>
      <c r="BR120" s="254">
        <v>-2.9133100000000001</v>
      </c>
      <c r="BS120" s="254">
        <v>0</v>
      </c>
      <c r="BT120" s="254">
        <v>0</v>
      </c>
      <c r="BU120" s="254">
        <v>0</v>
      </c>
      <c r="BV120" s="254">
        <v>0</v>
      </c>
      <c r="BW120" s="254">
        <v>0</v>
      </c>
      <c r="BX120" s="254">
        <v>0</v>
      </c>
      <c r="BY120" s="255">
        <v>0</v>
      </c>
      <c r="BZ120" s="236" t="s">
        <v>109</v>
      </c>
      <c r="CA120" s="236" t="s">
        <v>109</v>
      </c>
      <c r="CB120" s="236" t="s">
        <v>1020</v>
      </c>
      <c r="CC120" s="254">
        <v>3672.8280326999998</v>
      </c>
      <c r="CD120" s="254">
        <v>28.923668200000002</v>
      </c>
      <c r="CE120" s="254">
        <v>0</v>
      </c>
      <c r="CF120" s="254">
        <v>0</v>
      </c>
      <c r="CG120" s="254">
        <v>-2.9133100000000001</v>
      </c>
      <c r="CH120" s="254">
        <v>0</v>
      </c>
      <c r="CI120" s="254">
        <v>0</v>
      </c>
      <c r="CJ120" s="237">
        <v>0</v>
      </c>
      <c r="CK120" s="177" t="s">
        <v>128</v>
      </c>
      <c r="CL120" s="177" t="s">
        <v>128</v>
      </c>
      <c r="CM120" s="155" t="s">
        <v>109</v>
      </c>
      <c r="CN120" s="229">
        <v>1</v>
      </c>
      <c r="CO120" s="229">
        <v>0</v>
      </c>
      <c r="CP120" t="s">
        <v>202</v>
      </c>
      <c r="CR120" s="248"/>
    </row>
    <row r="121" spans="1:96" ht="14.4" x14ac:dyDescent="0.3">
      <c r="A121">
        <v>118</v>
      </c>
      <c r="B121" s="173" t="s">
        <v>1021</v>
      </c>
      <c r="C121" s="259"/>
      <c r="D121" s="260"/>
      <c r="E121" t="s">
        <v>329</v>
      </c>
      <c r="F121" t="s">
        <v>1022</v>
      </c>
      <c r="G121" s="177" t="s">
        <v>111</v>
      </c>
      <c r="H121" s="177" t="s">
        <v>113</v>
      </c>
      <c r="I121" s="177" t="s">
        <v>109</v>
      </c>
      <c r="J121" s="177" t="s">
        <v>109</v>
      </c>
      <c r="K121" s="177" t="s">
        <v>114</v>
      </c>
      <c r="L121" s="177" t="s">
        <v>504</v>
      </c>
      <c r="M121" s="177" t="s">
        <v>505</v>
      </c>
      <c r="N121" s="177" t="s">
        <v>109</v>
      </c>
      <c r="O121" s="180">
        <v>45783</v>
      </c>
      <c r="P121" s="177" t="s">
        <v>1023</v>
      </c>
      <c r="Q121" s="177" t="s">
        <v>508</v>
      </c>
      <c r="R121" s="177" t="s">
        <v>1024</v>
      </c>
      <c r="S121" s="177" t="s">
        <v>109</v>
      </c>
      <c r="T121" s="177" t="s">
        <v>404</v>
      </c>
      <c r="U121" s="177" t="s">
        <v>117</v>
      </c>
      <c r="V121" s="177" t="b">
        <v>0</v>
      </c>
      <c r="W121" s="177" t="s">
        <v>109</v>
      </c>
      <c r="X121" s="261"/>
      <c r="Y121" s="177" t="s">
        <v>118</v>
      </c>
      <c r="Z121" s="177">
        <v>1.937683</v>
      </c>
      <c r="AA121" s="177">
        <v>230</v>
      </c>
      <c r="AB121" s="177" t="s">
        <v>1025</v>
      </c>
      <c r="AC121" s="177">
        <v>2.1</v>
      </c>
      <c r="AD121" s="177" t="s">
        <v>1026</v>
      </c>
      <c r="AE121" s="177" t="s">
        <v>1027</v>
      </c>
      <c r="AF121" s="177">
        <v>1</v>
      </c>
      <c r="AG121" s="177">
        <v>14128</v>
      </c>
      <c r="AH121" s="177" t="s">
        <v>121</v>
      </c>
      <c r="AI121" s="177" t="b">
        <v>0</v>
      </c>
      <c r="AJ121" s="180" t="s">
        <v>109</v>
      </c>
      <c r="AK121" s="177" t="s">
        <v>122</v>
      </c>
      <c r="AL121" s="177">
        <v>2015</v>
      </c>
      <c r="AM121" s="177">
        <v>2014</v>
      </c>
      <c r="AN121" s="177" t="b">
        <v>0</v>
      </c>
      <c r="AO121" s="177">
        <v>2014</v>
      </c>
      <c r="AP121" s="177" t="s">
        <v>109</v>
      </c>
      <c r="AQ121" s="177" t="s">
        <v>766</v>
      </c>
      <c r="AR121" s="177" t="b">
        <v>0</v>
      </c>
      <c r="AS121" s="177" t="s">
        <v>490</v>
      </c>
      <c r="AT121" s="180">
        <v>43546</v>
      </c>
      <c r="AU121" s="177" t="s">
        <v>491</v>
      </c>
      <c r="AV121" s="177" t="s">
        <v>109</v>
      </c>
      <c r="AW121" s="177" t="s">
        <v>226</v>
      </c>
      <c r="AX121" s="177" t="s">
        <v>118</v>
      </c>
      <c r="AY121" s="177" t="s">
        <v>492</v>
      </c>
      <c r="AZ121" s="177" t="s">
        <v>1028</v>
      </c>
      <c r="BA121" s="177" t="s">
        <v>494</v>
      </c>
      <c r="BB121" s="177">
        <v>2020</v>
      </c>
      <c r="BC121" s="177" t="s">
        <v>126</v>
      </c>
      <c r="BD121" s="177" t="s">
        <v>109</v>
      </c>
      <c r="BE121" s="180" t="s">
        <v>1029</v>
      </c>
      <c r="BF121" s="180" t="s">
        <v>1030</v>
      </c>
      <c r="BG121" s="180" t="s">
        <v>1031</v>
      </c>
      <c r="BH121" s="177" t="s">
        <v>699</v>
      </c>
      <c r="BI121" s="177" t="s">
        <v>521</v>
      </c>
      <c r="BJ121" s="177" t="b">
        <v>1</v>
      </c>
      <c r="BK121" s="233">
        <v>17140</v>
      </c>
      <c r="BL121" s="234" t="s">
        <v>128</v>
      </c>
      <c r="BM121" s="254">
        <v>131863.451</v>
      </c>
      <c r="BN121" s="254">
        <v>42618.568539499996</v>
      </c>
      <c r="BO121" s="254">
        <v>32690.821317199996</v>
      </c>
      <c r="BP121" s="254">
        <v>20376.523298099997</v>
      </c>
      <c r="BQ121" s="254">
        <v>1653.6356329999999</v>
      </c>
      <c r="BR121" s="254">
        <v>1245.4533199999998</v>
      </c>
      <c r="BS121" s="254">
        <v>48.5167</v>
      </c>
      <c r="BT121" s="254">
        <v>0</v>
      </c>
      <c r="BU121" s="254">
        <v>0</v>
      </c>
      <c r="BV121" s="254">
        <v>0</v>
      </c>
      <c r="BW121" s="254">
        <v>0</v>
      </c>
      <c r="BX121" s="254">
        <v>0</v>
      </c>
      <c r="BY121" s="255">
        <v>0</v>
      </c>
      <c r="BZ121" s="236" t="s">
        <v>109</v>
      </c>
      <c r="CA121" s="236" t="s">
        <v>109</v>
      </c>
      <c r="CB121" s="236" t="s">
        <v>842</v>
      </c>
      <c r="CC121" s="254">
        <v>0</v>
      </c>
      <c r="CD121" s="254">
        <v>50361.7741293</v>
      </c>
      <c r="CE121" s="254">
        <v>74652.803845400005</v>
      </c>
      <c r="CF121" s="254">
        <v>1653.6356329999999</v>
      </c>
      <c r="CG121" s="254">
        <v>1245.4533199999998</v>
      </c>
      <c r="CH121" s="254">
        <v>48.5167</v>
      </c>
      <c r="CI121" s="254">
        <v>0</v>
      </c>
      <c r="CJ121" s="237">
        <v>0</v>
      </c>
      <c r="CK121" s="177" t="s">
        <v>128</v>
      </c>
      <c r="CL121" s="177" t="s">
        <v>128</v>
      </c>
      <c r="CM121" s="155" t="s">
        <v>109</v>
      </c>
      <c r="CN121" s="229">
        <v>1</v>
      </c>
      <c r="CO121" s="229">
        <v>0</v>
      </c>
      <c r="CP121" t="s">
        <v>155</v>
      </c>
      <c r="CR121" s="248"/>
    </row>
    <row r="122" spans="1:96" ht="14.4" x14ac:dyDescent="0.3">
      <c r="A122">
        <v>119</v>
      </c>
      <c r="B122" s="173" t="s">
        <v>1033</v>
      </c>
      <c r="C122" s="259"/>
      <c r="D122" s="260"/>
      <c r="E122" t="s">
        <v>1034</v>
      </c>
      <c r="F122" t="s">
        <v>1035</v>
      </c>
      <c r="G122" s="177" t="s">
        <v>661</v>
      </c>
      <c r="H122" s="177" t="s">
        <v>112</v>
      </c>
      <c r="I122" s="177" t="s">
        <v>109</v>
      </c>
      <c r="J122" s="177" t="s">
        <v>109</v>
      </c>
      <c r="K122" s="177" t="s">
        <v>485</v>
      </c>
      <c r="L122" s="177" t="s">
        <v>904</v>
      </c>
      <c r="M122" s="177" t="s">
        <v>505</v>
      </c>
      <c r="N122" s="177" t="s">
        <v>109</v>
      </c>
      <c r="O122" s="180">
        <v>45687</v>
      </c>
      <c r="P122" s="177" t="s">
        <v>109</v>
      </c>
      <c r="Q122" s="177" t="s">
        <v>508</v>
      </c>
      <c r="R122" s="177" t="s">
        <v>1036</v>
      </c>
      <c r="S122" s="177" t="s">
        <v>109</v>
      </c>
      <c r="T122" s="177" t="s">
        <v>404</v>
      </c>
      <c r="U122" s="177" t="s">
        <v>117</v>
      </c>
      <c r="V122" s="177" t="b">
        <v>0</v>
      </c>
      <c r="W122" s="177" t="s">
        <v>109</v>
      </c>
      <c r="X122" s="261"/>
      <c r="Y122" s="177">
        <v>11.903558</v>
      </c>
      <c r="Z122" s="177" t="s">
        <v>118</v>
      </c>
      <c r="AA122" s="177">
        <v>69</v>
      </c>
      <c r="AB122" s="177" t="s">
        <v>373</v>
      </c>
      <c r="AC122" s="177">
        <v>2.1</v>
      </c>
      <c r="AD122" s="177" t="s">
        <v>1037</v>
      </c>
      <c r="AE122" s="177" t="s">
        <v>1038</v>
      </c>
      <c r="AF122" s="177">
        <v>1</v>
      </c>
      <c r="AG122" s="177">
        <v>14137</v>
      </c>
      <c r="AH122" s="177" t="s">
        <v>121</v>
      </c>
      <c r="AI122" s="177" t="b">
        <v>0</v>
      </c>
      <c r="AJ122" s="180" t="s">
        <v>109</v>
      </c>
      <c r="AK122" s="177" t="s">
        <v>122</v>
      </c>
      <c r="AL122" s="177">
        <v>2015</v>
      </c>
      <c r="AM122" s="177">
        <v>2014</v>
      </c>
      <c r="AN122" s="177" t="b">
        <v>0</v>
      </c>
      <c r="AO122" s="177">
        <v>2014</v>
      </c>
      <c r="AP122" s="177" t="s">
        <v>109</v>
      </c>
      <c r="AQ122" s="177" t="s">
        <v>766</v>
      </c>
      <c r="AR122" s="177" t="b">
        <v>0</v>
      </c>
      <c r="AS122" s="177" t="s">
        <v>1039</v>
      </c>
      <c r="AT122" s="180">
        <v>43175</v>
      </c>
      <c r="AU122" s="177" t="s">
        <v>491</v>
      </c>
      <c r="AV122" s="177" t="s">
        <v>109</v>
      </c>
      <c r="AW122" s="177" t="s">
        <v>109</v>
      </c>
      <c r="AX122" s="177" t="s">
        <v>118</v>
      </c>
      <c r="AY122" s="177" t="s">
        <v>492</v>
      </c>
      <c r="AZ122" s="177" t="s">
        <v>279</v>
      </c>
      <c r="BA122" s="177" t="s">
        <v>494</v>
      </c>
      <c r="BB122" s="177">
        <v>2021</v>
      </c>
      <c r="BC122" s="177" t="s">
        <v>126</v>
      </c>
      <c r="BD122" s="177" t="s">
        <v>109</v>
      </c>
      <c r="BE122" s="180" t="s">
        <v>1040</v>
      </c>
      <c r="BF122" s="180" t="s">
        <v>712</v>
      </c>
      <c r="BG122" s="180" t="s">
        <v>1041</v>
      </c>
      <c r="BH122" s="177" t="s">
        <v>699</v>
      </c>
      <c r="BI122" s="177" t="s">
        <v>893</v>
      </c>
      <c r="BJ122" s="177" t="b">
        <v>1</v>
      </c>
      <c r="BK122" s="233">
        <v>5626.42</v>
      </c>
      <c r="BL122" s="234" t="s">
        <v>128</v>
      </c>
      <c r="BM122" s="254">
        <v>52331.661999999997</v>
      </c>
      <c r="BN122" s="254">
        <v>1799.1408999999999</v>
      </c>
      <c r="BO122" s="254">
        <v>9221.2832409999992</v>
      </c>
      <c r="BP122" s="254">
        <v>32210.433222</v>
      </c>
      <c r="BQ122" s="254">
        <v>2820.3867090000003</v>
      </c>
      <c r="BR122" s="254">
        <v>1777.488478</v>
      </c>
      <c r="BS122" s="254">
        <v>79.784040000000005</v>
      </c>
      <c r="BT122" s="254">
        <v>2.7585000000000002</v>
      </c>
      <c r="BU122" s="254">
        <v>0</v>
      </c>
      <c r="BV122" s="254">
        <v>0</v>
      </c>
      <c r="BW122" s="254">
        <v>0</v>
      </c>
      <c r="BX122" s="254">
        <v>0</v>
      </c>
      <c r="BY122" s="255">
        <v>0</v>
      </c>
      <c r="BZ122" s="236" t="s">
        <v>109</v>
      </c>
      <c r="CA122" s="236" t="s">
        <v>109</v>
      </c>
      <c r="CB122" s="236" t="s">
        <v>842</v>
      </c>
      <c r="CC122" s="254">
        <v>0</v>
      </c>
      <c r="CD122" s="254">
        <v>529.16591000000005</v>
      </c>
      <c r="CE122" s="254">
        <v>332.09146999999996</v>
      </c>
      <c r="CF122" s="254">
        <v>49610.374062100003</v>
      </c>
      <c r="CG122" s="254">
        <v>1777.488478</v>
      </c>
      <c r="CH122" s="254">
        <v>79.784040000000005</v>
      </c>
      <c r="CI122" s="254">
        <v>2.7585000000000002</v>
      </c>
      <c r="CJ122" s="237">
        <v>0</v>
      </c>
      <c r="CK122" s="177" t="s">
        <v>128</v>
      </c>
      <c r="CL122" s="177" t="s">
        <v>128</v>
      </c>
      <c r="CM122" s="155" t="s">
        <v>109</v>
      </c>
      <c r="CN122" s="229">
        <v>0</v>
      </c>
      <c r="CO122" s="229">
        <v>1</v>
      </c>
      <c r="CP122" t="s">
        <v>155</v>
      </c>
      <c r="CR122" s="248"/>
    </row>
    <row r="123" spans="1:96" ht="14.4" x14ac:dyDescent="0.3">
      <c r="A123">
        <v>120</v>
      </c>
      <c r="B123" s="173" t="s">
        <v>1042</v>
      </c>
      <c r="C123" s="259"/>
      <c r="D123" s="260"/>
      <c r="E123" t="s">
        <v>1043</v>
      </c>
      <c r="F123" t="s">
        <v>1044</v>
      </c>
      <c r="G123" s="177" t="s">
        <v>688</v>
      </c>
      <c r="H123" s="177" t="s">
        <v>146</v>
      </c>
      <c r="I123" s="177" t="s">
        <v>109</v>
      </c>
      <c r="J123" s="177" t="s">
        <v>109</v>
      </c>
      <c r="K123" s="177" t="s">
        <v>662</v>
      </c>
      <c r="L123" s="177" t="s">
        <v>193</v>
      </c>
      <c r="M123" s="177" t="s">
        <v>109</v>
      </c>
      <c r="N123" s="177" t="s">
        <v>109</v>
      </c>
      <c r="O123" s="180">
        <v>45698</v>
      </c>
      <c r="P123" s="177" t="s">
        <v>109</v>
      </c>
      <c r="Q123" s="177" t="s">
        <v>109</v>
      </c>
      <c r="R123" s="177" t="s">
        <v>109</v>
      </c>
      <c r="S123" s="177" t="s">
        <v>109</v>
      </c>
      <c r="T123" s="177" t="s">
        <v>200</v>
      </c>
      <c r="U123" s="177" t="s">
        <v>117</v>
      </c>
      <c r="V123" s="177" t="b">
        <v>0</v>
      </c>
      <c r="W123" s="177" t="s">
        <v>109</v>
      </c>
      <c r="X123" s="261"/>
      <c r="Y123" s="177">
        <v>5.16</v>
      </c>
      <c r="Z123" s="177" t="s">
        <v>118</v>
      </c>
      <c r="AA123" s="177" t="s">
        <v>215</v>
      </c>
      <c r="AB123" s="177" t="s">
        <v>109</v>
      </c>
      <c r="AC123" s="177" t="s">
        <v>109</v>
      </c>
      <c r="AD123" s="177" t="s">
        <v>109</v>
      </c>
      <c r="AE123" s="177" t="s">
        <v>1045</v>
      </c>
      <c r="AF123" s="177">
        <v>1</v>
      </c>
      <c r="AG123" s="177">
        <v>14140</v>
      </c>
      <c r="AH123" s="177" t="s">
        <v>121</v>
      </c>
      <c r="AI123" s="177" t="b">
        <v>1</v>
      </c>
      <c r="AJ123" s="180">
        <v>45777</v>
      </c>
      <c r="AK123" s="177" t="s">
        <v>122</v>
      </c>
      <c r="AL123" s="177">
        <v>2023</v>
      </c>
      <c r="AM123" s="177" t="s">
        <v>109</v>
      </c>
      <c r="AN123" s="179" t="b">
        <v>0</v>
      </c>
      <c r="AO123" s="177" t="s">
        <v>109</v>
      </c>
      <c r="AP123" s="177" t="s">
        <v>109</v>
      </c>
      <c r="AQ123" s="177" t="s">
        <v>109</v>
      </c>
      <c r="AR123" s="177" t="b">
        <v>0</v>
      </c>
      <c r="AS123" s="177" t="s">
        <v>109</v>
      </c>
      <c r="AT123" s="180" t="s">
        <v>109</v>
      </c>
      <c r="AU123" s="177" t="s">
        <v>124</v>
      </c>
      <c r="AV123" s="177" t="s">
        <v>109</v>
      </c>
      <c r="AW123" s="177" t="s">
        <v>195</v>
      </c>
      <c r="AX123" s="177" t="s">
        <v>109</v>
      </c>
      <c r="AY123" s="177" t="s">
        <v>135</v>
      </c>
      <c r="AZ123" s="177" t="s">
        <v>109</v>
      </c>
      <c r="BA123" s="177" t="s">
        <v>125</v>
      </c>
      <c r="BB123" s="177" t="s">
        <v>109</v>
      </c>
      <c r="BC123" s="177" t="s">
        <v>322</v>
      </c>
      <c r="BD123" s="177" t="s">
        <v>109</v>
      </c>
      <c r="BE123" s="181" t="s">
        <v>1046</v>
      </c>
      <c r="BF123" s="180">
        <v>45535</v>
      </c>
      <c r="BG123" s="180" t="s">
        <v>1047</v>
      </c>
      <c r="BH123" s="177" t="s">
        <v>138</v>
      </c>
      <c r="BI123" s="177" t="s">
        <v>138</v>
      </c>
      <c r="BJ123" s="177" t="b">
        <v>1</v>
      </c>
      <c r="BK123" s="236">
        <v>28671.068889999999</v>
      </c>
      <c r="BL123" s="234" t="s">
        <v>128</v>
      </c>
      <c r="BM123" s="256">
        <v>19962.807000000001</v>
      </c>
      <c r="BN123" s="256">
        <v>504.97334840000002</v>
      </c>
      <c r="BO123" s="256">
        <v>525.74541410000006</v>
      </c>
      <c r="BP123" s="256">
        <v>1287.7237941999999</v>
      </c>
      <c r="BQ123" s="256">
        <v>5494.1020127000011</v>
      </c>
      <c r="BR123" s="256">
        <v>10217.193514000002</v>
      </c>
      <c r="BS123" s="256">
        <v>-454.00961400000034</v>
      </c>
      <c r="BT123" s="256">
        <v>1378.3459147000008</v>
      </c>
      <c r="BU123" s="256">
        <v>0</v>
      </c>
      <c r="BV123" s="256">
        <v>0</v>
      </c>
      <c r="BW123" s="256">
        <v>0</v>
      </c>
      <c r="BX123" s="256">
        <v>0</v>
      </c>
      <c r="BY123" s="255">
        <v>0</v>
      </c>
      <c r="BZ123" s="236" t="s">
        <v>109</v>
      </c>
      <c r="CA123" s="236" t="s">
        <v>109</v>
      </c>
      <c r="CB123" s="256" t="s">
        <v>842</v>
      </c>
      <c r="CC123" s="256">
        <v>0</v>
      </c>
      <c r="CD123" s="256">
        <v>2039.4517139999998</v>
      </c>
      <c r="CE123" s="256">
        <v>1287.3470775999999</v>
      </c>
      <c r="CF123" s="256">
        <v>3337.4986990000002</v>
      </c>
      <c r="CG123" s="256">
        <v>12374.173544300002</v>
      </c>
      <c r="CH123" s="256">
        <v>-454.00961400000034</v>
      </c>
      <c r="CI123" s="256">
        <v>1378.3459147000008</v>
      </c>
      <c r="CJ123" s="177" t="s">
        <v>128</v>
      </c>
      <c r="CK123" s="177" t="s">
        <v>128</v>
      </c>
      <c r="CL123" s="177">
        <v>8</v>
      </c>
      <c r="CM123" s="155" t="s">
        <v>109</v>
      </c>
      <c r="CN123" s="229">
        <v>0</v>
      </c>
      <c r="CO123" s="229">
        <v>1</v>
      </c>
      <c r="CP123" t="s">
        <v>155</v>
      </c>
      <c r="CR123" s="248"/>
    </row>
    <row r="124" spans="1:96" ht="14.4" x14ac:dyDescent="0.3">
      <c r="A124">
        <v>121</v>
      </c>
      <c r="B124" s="173" t="s">
        <v>1048</v>
      </c>
      <c r="C124" s="259"/>
      <c r="D124" s="260"/>
      <c r="E124" t="s">
        <v>1049</v>
      </c>
      <c r="F124" t="s">
        <v>1050</v>
      </c>
      <c r="G124" s="177" t="s">
        <v>111</v>
      </c>
      <c r="H124" s="177" t="s">
        <v>113</v>
      </c>
      <c r="I124" s="177" t="s">
        <v>275</v>
      </c>
      <c r="J124" s="177" t="s">
        <v>109</v>
      </c>
      <c r="K124" s="177" t="s">
        <v>114</v>
      </c>
      <c r="L124" s="177" t="s">
        <v>251</v>
      </c>
      <c r="M124" s="177" t="s">
        <v>109</v>
      </c>
      <c r="N124" s="177" t="s">
        <v>109</v>
      </c>
      <c r="O124" s="180">
        <v>45785</v>
      </c>
      <c r="P124" s="177" t="s">
        <v>1051</v>
      </c>
      <c r="Q124" s="177" t="s">
        <v>109</v>
      </c>
      <c r="R124" s="177" t="s">
        <v>1052</v>
      </c>
      <c r="S124" s="177" t="s">
        <v>109</v>
      </c>
      <c r="T124" s="177" t="s">
        <v>116</v>
      </c>
      <c r="U124" s="177" t="s">
        <v>117</v>
      </c>
      <c r="V124" s="177" t="b">
        <v>0</v>
      </c>
      <c r="W124" s="177" t="s">
        <v>109</v>
      </c>
      <c r="X124" s="261"/>
      <c r="Y124" s="177" t="s">
        <v>118</v>
      </c>
      <c r="Z124" s="176">
        <v>0.36955922899999999</v>
      </c>
      <c r="AA124" s="177">
        <v>69</v>
      </c>
      <c r="AB124" s="177" t="s">
        <v>990</v>
      </c>
      <c r="AC124" s="177">
        <v>4.0999999999999996</v>
      </c>
      <c r="AD124" s="177" t="s">
        <v>1053</v>
      </c>
      <c r="AE124" s="177" t="s">
        <v>1054</v>
      </c>
      <c r="AF124" s="177">
        <v>1</v>
      </c>
      <c r="AG124" s="177">
        <v>14143</v>
      </c>
      <c r="AH124" s="177" t="s">
        <v>121</v>
      </c>
      <c r="AI124" s="177" t="b">
        <v>1</v>
      </c>
      <c r="AJ124" s="180">
        <v>43558</v>
      </c>
      <c r="AK124" s="177" t="s">
        <v>122</v>
      </c>
      <c r="AL124" s="177">
        <v>2015</v>
      </c>
      <c r="AM124" s="177" t="s">
        <v>109</v>
      </c>
      <c r="AN124" s="177" t="b">
        <v>0</v>
      </c>
      <c r="AO124" s="177" t="s">
        <v>109</v>
      </c>
      <c r="AP124" s="177" t="s">
        <v>109</v>
      </c>
      <c r="AQ124" s="177" t="s">
        <v>118</v>
      </c>
      <c r="AR124" s="177" t="b">
        <v>0</v>
      </c>
      <c r="AS124" s="177" t="s">
        <v>123</v>
      </c>
      <c r="AT124" s="180" t="s">
        <v>123</v>
      </c>
      <c r="AU124" s="177" t="s">
        <v>124</v>
      </c>
      <c r="AV124" s="177" t="s">
        <v>109</v>
      </c>
      <c r="AW124" s="177" t="s">
        <v>118</v>
      </c>
      <c r="AX124" s="177" t="s">
        <v>118</v>
      </c>
      <c r="AY124" s="177" t="s">
        <v>135</v>
      </c>
      <c r="AZ124" s="177" t="s">
        <v>109</v>
      </c>
      <c r="BA124" s="177" t="s">
        <v>125</v>
      </c>
      <c r="BB124" s="177" t="s">
        <v>109</v>
      </c>
      <c r="BC124" s="177" t="s">
        <v>126</v>
      </c>
      <c r="BD124" s="177" t="s">
        <v>109</v>
      </c>
      <c r="BE124" s="180" t="s">
        <v>1055</v>
      </c>
      <c r="BF124" s="180" t="s">
        <v>1056</v>
      </c>
      <c r="BG124" s="180" t="s">
        <v>1057</v>
      </c>
      <c r="BH124" s="177" t="s">
        <v>109</v>
      </c>
      <c r="BI124" s="177" t="s">
        <v>109</v>
      </c>
      <c r="BJ124" s="177" t="b">
        <v>0</v>
      </c>
      <c r="BK124" s="233">
        <v>1727.95874</v>
      </c>
      <c r="BL124" s="234" t="s">
        <v>128</v>
      </c>
      <c r="BM124" s="254">
        <v>21954.400000000001</v>
      </c>
      <c r="BN124" s="254">
        <v>84.096000000000004</v>
      </c>
      <c r="BO124" s="254">
        <v>389.62799999999999</v>
      </c>
      <c r="BP124" s="254">
        <v>804.56399999999996</v>
      </c>
      <c r="BQ124" s="254">
        <v>10.303000000000001</v>
      </c>
      <c r="BR124" s="254">
        <v>-16.317</v>
      </c>
      <c r="BS124" s="254">
        <v>0</v>
      </c>
      <c r="BT124" s="254">
        <v>0</v>
      </c>
      <c r="BU124" s="254">
        <v>0</v>
      </c>
      <c r="BV124" s="254">
        <v>0</v>
      </c>
      <c r="BW124" s="254">
        <v>0</v>
      </c>
      <c r="BX124" s="254">
        <v>0</v>
      </c>
      <c r="BY124" s="255">
        <v>0</v>
      </c>
      <c r="BZ124" s="236" t="s">
        <v>109</v>
      </c>
      <c r="CA124" s="236" t="s">
        <v>109</v>
      </c>
      <c r="CB124" s="256" t="s">
        <v>528</v>
      </c>
      <c r="CC124" s="254">
        <v>-40.957000000000001</v>
      </c>
      <c r="CD124" s="254">
        <v>2.4420000000000002</v>
      </c>
      <c r="CE124" s="254">
        <v>1398.614</v>
      </c>
      <c r="CF124" s="254">
        <v>10.303000000000001</v>
      </c>
      <c r="CG124" s="254">
        <v>-16.317</v>
      </c>
      <c r="CH124" s="254">
        <v>0</v>
      </c>
      <c r="CI124" s="254">
        <v>0</v>
      </c>
      <c r="CJ124" s="237">
        <v>0</v>
      </c>
      <c r="CK124" s="177" t="s">
        <v>128</v>
      </c>
      <c r="CL124" s="177" t="s">
        <v>128</v>
      </c>
      <c r="CM124" s="155" t="s">
        <v>109</v>
      </c>
      <c r="CN124" s="229">
        <v>0</v>
      </c>
      <c r="CO124" s="229">
        <v>1</v>
      </c>
      <c r="CP124" t="s">
        <v>155</v>
      </c>
      <c r="CR124" s="248"/>
    </row>
    <row r="125" spans="1:96" ht="14.4" x14ac:dyDescent="0.3">
      <c r="A125">
        <v>122</v>
      </c>
      <c r="B125" s="173" t="s">
        <v>1059</v>
      </c>
      <c r="C125" s="259"/>
      <c r="D125" s="260"/>
      <c r="E125" t="s">
        <v>1060</v>
      </c>
      <c r="F125" t="s">
        <v>1061</v>
      </c>
      <c r="G125" s="177" t="s">
        <v>233</v>
      </c>
      <c r="H125" s="177" t="s">
        <v>112</v>
      </c>
      <c r="I125" s="177" t="s">
        <v>109</v>
      </c>
      <c r="J125" s="177" t="s">
        <v>109</v>
      </c>
      <c r="K125" s="177" t="s">
        <v>192</v>
      </c>
      <c r="L125" s="177" t="s">
        <v>214</v>
      </c>
      <c r="M125" s="177" t="s">
        <v>109</v>
      </c>
      <c r="N125" s="177" t="s">
        <v>109</v>
      </c>
      <c r="O125" s="180" t="s">
        <v>109</v>
      </c>
      <c r="P125" s="177" t="s">
        <v>1062</v>
      </c>
      <c r="Q125" s="177" t="s">
        <v>109</v>
      </c>
      <c r="R125" s="177" t="s">
        <v>109</v>
      </c>
      <c r="S125" s="177" t="s">
        <v>109</v>
      </c>
      <c r="T125" s="177" t="s">
        <v>1063</v>
      </c>
      <c r="U125" s="177" t="s">
        <v>117</v>
      </c>
      <c r="V125" s="177" t="b">
        <v>0</v>
      </c>
      <c r="W125" s="177" t="s">
        <v>109</v>
      </c>
      <c r="X125" s="261"/>
      <c r="Y125" s="177" t="s">
        <v>118</v>
      </c>
      <c r="Z125" s="177" t="s">
        <v>118</v>
      </c>
      <c r="AA125" s="177" t="s">
        <v>1064</v>
      </c>
      <c r="AB125" s="177" t="s">
        <v>109</v>
      </c>
      <c r="AC125" s="177">
        <v>1.3</v>
      </c>
      <c r="AD125" s="177" t="s">
        <v>1065</v>
      </c>
      <c r="AE125" s="177" t="s">
        <v>1066</v>
      </c>
      <c r="AF125" s="177">
        <v>1</v>
      </c>
      <c r="AG125" s="177">
        <v>14145</v>
      </c>
      <c r="AH125" s="177" t="s">
        <v>121</v>
      </c>
      <c r="AI125" s="177" t="b">
        <v>1</v>
      </c>
      <c r="AJ125" s="180">
        <v>43857</v>
      </c>
      <c r="AK125" s="177" t="s">
        <v>122</v>
      </c>
      <c r="AL125" s="177">
        <v>2015</v>
      </c>
      <c r="AM125" s="177">
        <v>2019</v>
      </c>
      <c r="AN125" s="179" t="b">
        <v>0</v>
      </c>
      <c r="AO125" s="177" t="s">
        <v>118</v>
      </c>
      <c r="AP125" s="177" t="s">
        <v>109</v>
      </c>
      <c r="AQ125" s="177" t="s">
        <v>118</v>
      </c>
      <c r="AR125" s="177" t="b">
        <v>0</v>
      </c>
      <c r="AS125" s="177" t="s">
        <v>109</v>
      </c>
      <c r="AT125" s="180" t="s">
        <v>118</v>
      </c>
      <c r="AU125" s="177" t="s">
        <v>109</v>
      </c>
      <c r="AV125" s="177" t="s">
        <v>109</v>
      </c>
      <c r="AW125" s="177" t="s">
        <v>118</v>
      </c>
      <c r="AX125" s="177" t="s">
        <v>118</v>
      </c>
      <c r="AY125" s="177" t="s">
        <v>135</v>
      </c>
      <c r="AZ125" s="177" t="s">
        <v>109</v>
      </c>
      <c r="BA125" s="177" t="s">
        <v>125</v>
      </c>
      <c r="BB125" s="177" t="s">
        <v>109</v>
      </c>
      <c r="BC125" s="177" t="s">
        <v>126</v>
      </c>
      <c r="BD125" s="177" t="s">
        <v>109</v>
      </c>
      <c r="BE125" s="181" t="s">
        <v>1067</v>
      </c>
      <c r="BF125" s="180" t="s">
        <v>1068</v>
      </c>
      <c r="BG125" s="180" t="s">
        <v>1069</v>
      </c>
      <c r="BH125" s="177" t="s">
        <v>521</v>
      </c>
      <c r="BI125" s="177" t="s">
        <v>109</v>
      </c>
      <c r="BJ125" s="177" t="b">
        <v>0</v>
      </c>
      <c r="BK125" s="236">
        <v>499</v>
      </c>
      <c r="BL125" s="234" t="s">
        <v>128</v>
      </c>
      <c r="BM125" s="236">
        <v>15086.375019999999</v>
      </c>
      <c r="BN125" s="236">
        <v>6520.2525500000002</v>
      </c>
      <c r="BO125" s="236">
        <v>4215.1245600000002</v>
      </c>
      <c r="BP125" s="236">
        <v>-185.82426000000001</v>
      </c>
      <c r="BQ125" s="236">
        <v>0</v>
      </c>
      <c r="BR125" s="236">
        <v>0</v>
      </c>
      <c r="BS125" s="236">
        <v>0</v>
      </c>
      <c r="BT125" s="236">
        <v>0</v>
      </c>
      <c r="BU125" s="236">
        <v>0</v>
      </c>
      <c r="BV125" s="236">
        <v>0</v>
      </c>
      <c r="BW125" s="236">
        <v>0</v>
      </c>
      <c r="BX125" s="236">
        <v>0</v>
      </c>
      <c r="BY125" s="234">
        <v>0</v>
      </c>
      <c r="BZ125" s="236" t="s">
        <v>109</v>
      </c>
      <c r="CA125" s="236" t="s">
        <v>109</v>
      </c>
      <c r="CB125" s="236" t="s">
        <v>157</v>
      </c>
      <c r="CC125" s="236">
        <v>11057.074720000001</v>
      </c>
      <c r="CD125" s="236">
        <v>4215.1245600000002</v>
      </c>
      <c r="CE125" s="236">
        <v>-185.82426000000001</v>
      </c>
      <c r="CF125" s="236">
        <v>0</v>
      </c>
      <c r="CG125" s="236">
        <v>0</v>
      </c>
      <c r="CH125" s="236">
        <v>0</v>
      </c>
      <c r="CI125" s="236">
        <v>0</v>
      </c>
      <c r="CJ125" s="177">
        <v>0</v>
      </c>
      <c r="CK125" s="177" t="s">
        <v>128</v>
      </c>
      <c r="CL125" s="177" t="s">
        <v>128</v>
      </c>
      <c r="CM125" s="155" t="s">
        <v>109</v>
      </c>
      <c r="CN125" s="229">
        <v>1</v>
      </c>
      <c r="CO125" s="229">
        <v>0</v>
      </c>
      <c r="CP125" t="s">
        <v>1070</v>
      </c>
      <c r="CR125" s="248"/>
    </row>
    <row r="126" spans="1:96" ht="14.4" x14ac:dyDescent="0.3">
      <c r="A126">
        <v>123</v>
      </c>
      <c r="B126" s="173" t="s">
        <v>1071</v>
      </c>
      <c r="C126" s="259"/>
      <c r="D126" s="260"/>
      <c r="E126" t="s">
        <v>109</v>
      </c>
      <c r="F126" t="s">
        <v>1072</v>
      </c>
      <c r="G126" s="177" t="s">
        <v>133</v>
      </c>
      <c r="H126" s="177" t="s">
        <v>112</v>
      </c>
      <c r="I126" s="177" t="s">
        <v>109</v>
      </c>
      <c r="J126" s="177" t="s">
        <v>109</v>
      </c>
      <c r="K126" s="177" t="s">
        <v>1073</v>
      </c>
      <c r="L126" s="177" t="s">
        <v>1074</v>
      </c>
      <c r="M126" s="177" t="s">
        <v>194</v>
      </c>
      <c r="N126" s="177" t="s">
        <v>194</v>
      </c>
      <c r="O126" s="180" t="s">
        <v>109</v>
      </c>
      <c r="P126" s="177" t="s">
        <v>109</v>
      </c>
      <c r="Q126" s="177" t="s">
        <v>109</v>
      </c>
      <c r="R126" s="177" t="s">
        <v>109</v>
      </c>
      <c r="S126" s="177" t="s">
        <v>109</v>
      </c>
      <c r="T126" s="177" t="s">
        <v>116</v>
      </c>
      <c r="U126" s="177" t="s">
        <v>117</v>
      </c>
      <c r="V126" s="177" t="b">
        <v>0</v>
      </c>
      <c r="W126" s="177" t="s">
        <v>109</v>
      </c>
      <c r="X126" s="261"/>
      <c r="Y126" s="177" t="s">
        <v>118</v>
      </c>
      <c r="Z126" s="177" t="s">
        <v>118</v>
      </c>
      <c r="AA126" s="177" t="s">
        <v>119</v>
      </c>
      <c r="AB126" s="177" t="s">
        <v>1075</v>
      </c>
      <c r="AC126" s="177">
        <v>1.1000000000000001</v>
      </c>
      <c r="AD126" s="177" t="s">
        <v>119</v>
      </c>
      <c r="AE126" s="177" t="s">
        <v>1076</v>
      </c>
      <c r="AF126" s="177">
        <v>34</v>
      </c>
      <c r="AG126" s="177">
        <v>15125</v>
      </c>
      <c r="AH126" s="177" t="s">
        <v>121</v>
      </c>
      <c r="AI126" s="177" t="b">
        <v>1</v>
      </c>
      <c r="AJ126" s="180">
        <v>45635</v>
      </c>
      <c r="AK126" s="177" t="s">
        <v>122</v>
      </c>
      <c r="AL126" s="177" t="s">
        <v>109</v>
      </c>
      <c r="AM126" s="177" t="s">
        <v>109</v>
      </c>
      <c r="AN126" s="177" t="b">
        <v>0</v>
      </c>
      <c r="AO126" s="177" t="s">
        <v>109</v>
      </c>
      <c r="AP126" s="177" t="s">
        <v>109</v>
      </c>
      <c r="AQ126" s="177" t="s">
        <v>118</v>
      </c>
      <c r="AR126" s="177" t="b">
        <v>0</v>
      </c>
      <c r="AS126" s="177" t="s">
        <v>1039</v>
      </c>
      <c r="AT126" s="180" t="s">
        <v>118</v>
      </c>
      <c r="AU126" s="177" t="s">
        <v>109</v>
      </c>
      <c r="AV126" s="177" t="s">
        <v>109</v>
      </c>
      <c r="AW126" s="177" t="s">
        <v>118</v>
      </c>
      <c r="AX126" s="177" t="s">
        <v>118</v>
      </c>
      <c r="AY126" s="177" t="s">
        <v>109</v>
      </c>
      <c r="AZ126" s="177" t="s">
        <v>109</v>
      </c>
      <c r="BA126" s="177" t="s">
        <v>125</v>
      </c>
      <c r="BB126" s="177" t="s">
        <v>109</v>
      </c>
      <c r="BC126" s="177" t="s">
        <v>126</v>
      </c>
      <c r="BD126" s="177" t="s">
        <v>109</v>
      </c>
      <c r="BE126" s="180" t="s">
        <v>109</v>
      </c>
      <c r="BF126" s="180" t="s">
        <v>127</v>
      </c>
      <c r="BG126" s="180" t="s">
        <v>119</v>
      </c>
      <c r="BH126" s="177" t="s">
        <v>109</v>
      </c>
      <c r="BI126" s="177" t="s">
        <v>109</v>
      </c>
      <c r="BJ126" s="177" t="b">
        <v>1</v>
      </c>
      <c r="BK126" s="233">
        <v>216954.95924</v>
      </c>
      <c r="BL126" s="234" t="s">
        <v>128</v>
      </c>
      <c r="BM126" s="233">
        <f>276432.75777854-SUM(BM127:BM139)</f>
        <v>51737.620667273412</v>
      </c>
      <c r="BN126" s="235">
        <f>11764.082977-SUM(BN127:BN139)</f>
        <v>1169.092749200001</v>
      </c>
      <c r="BO126" s="235">
        <f>36828.4383294-SUM(BO127:BO139)</f>
        <v>294.39695570000185</v>
      </c>
      <c r="BP126" s="235">
        <f>34594.3880267-SUM(BP127:BP139)</f>
        <v>312.31626669999241</v>
      </c>
      <c r="BQ126" s="235">
        <f>40966.5676278-SUM(BQ127:BQ139)</f>
        <v>-1003.4674744000004</v>
      </c>
      <c r="BR126" s="235">
        <f>46563.2706963-SUM(BR127:BR139)</f>
        <v>21.060358300019288</v>
      </c>
      <c r="BS126" s="235">
        <f>2519.073204-SUM(BS127:BS139)</f>
        <v>0</v>
      </c>
      <c r="BT126" s="235">
        <f>22554.2349509-SUM(BT127:BT139)</f>
        <v>0.49102000000129919</v>
      </c>
      <c r="BU126" s="235">
        <f>18588.1423435-SUM(BU127:BU139)</f>
        <v>0</v>
      </c>
      <c r="BV126" s="235">
        <f>0-SUM(BV127:BV139)</f>
        <v>0</v>
      </c>
      <c r="BW126" s="235">
        <f>0-SUM(BW127:BW139)</f>
        <v>0</v>
      </c>
      <c r="BX126" s="235">
        <f>0-SUM(BX127:BX139)</f>
        <v>0</v>
      </c>
      <c r="BY126" s="234">
        <v>44.10740000000078</v>
      </c>
      <c r="BZ126" s="236" t="s">
        <v>109</v>
      </c>
      <c r="CA126" s="236" t="s">
        <v>109</v>
      </c>
      <c r="CB126" s="236" t="s">
        <v>129</v>
      </c>
      <c r="CC126" s="235">
        <f>25953.5913568-SUM(CC127:CC139)</f>
        <v>12247.996676799999</v>
      </c>
      <c r="CD126" s="235">
        <f>23981.2527627-SUM(CD127:CD139)</f>
        <v>54.868960000003426</v>
      </c>
      <c r="CE126" s="235">
        <f>31572.08357-SUM(CE127:CE139)</f>
        <v>39.220799999995506</v>
      </c>
      <c r="CF126" s="235">
        <f>30890.4935281-SUM(CF127:CF139)</f>
        <v>-490.84401200000138</v>
      </c>
      <c r="CG126" s="235">
        <f>77360.0066884-SUM(CG127:CG139)</f>
        <v>21.060358300004737</v>
      </c>
      <c r="CH126" s="235">
        <f>486.085044-SUM(CH127:CH139)</f>
        <v>0</v>
      </c>
      <c r="CI126" s="235">
        <f>17515.3945015-SUM(CI127:CI139)</f>
        <v>0.49102000000129919</v>
      </c>
      <c r="CJ126" s="237">
        <v>0</v>
      </c>
      <c r="CK126" s="177" t="s">
        <v>128</v>
      </c>
      <c r="CL126" s="177">
        <v>8.4</v>
      </c>
      <c r="CM126" s="155" t="s">
        <v>109</v>
      </c>
      <c r="CN126" s="229">
        <v>1</v>
      </c>
      <c r="CO126" s="229">
        <v>0</v>
      </c>
      <c r="CP126" t="s">
        <v>1077</v>
      </c>
      <c r="CR126" s="248"/>
    </row>
    <row r="127" spans="1:96" ht="14.4" x14ac:dyDescent="0.3">
      <c r="A127">
        <v>124</v>
      </c>
      <c r="B127" s="173" t="s">
        <v>1078</v>
      </c>
      <c r="C127" s="259"/>
      <c r="D127" s="260"/>
      <c r="E127" t="s">
        <v>329</v>
      </c>
      <c r="F127" t="s">
        <v>1079</v>
      </c>
      <c r="G127" s="177" t="s">
        <v>1080</v>
      </c>
      <c r="H127" s="177" t="s">
        <v>112</v>
      </c>
      <c r="I127" s="177" t="s">
        <v>109</v>
      </c>
      <c r="J127" s="177" t="s">
        <v>109</v>
      </c>
      <c r="K127" s="177" t="s">
        <v>1073</v>
      </c>
      <c r="L127" s="177" t="s">
        <v>1074</v>
      </c>
      <c r="M127" s="177" t="s">
        <v>194</v>
      </c>
      <c r="N127" s="177" t="s">
        <v>194</v>
      </c>
      <c r="O127" s="180">
        <v>45794</v>
      </c>
      <c r="P127" s="177" t="s">
        <v>109</v>
      </c>
      <c r="Q127" s="177" t="s">
        <v>109</v>
      </c>
      <c r="R127" s="177" t="s">
        <v>109</v>
      </c>
      <c r="S127" s="177" t="s">
        <v>109</v>
      </c>
      <c r="T127" s="177" t="s">
        <v>116</v>
      </c>
      <c r="U127" s="177" t="s">
        <v>117</v>
      </c>
      <c r="V127" s="177" t="b">
        <v>0</v>
      </c>
      <c r="W127" s="177" t="s">
        <v>109</v>
      </c>
      <c r="X127" s="261"/>
      <c r="Y127" s="177" t="s">
        <v>109</v>
      </c>
      <c r="Z127" s="176">
        <v>13.94</v>
      </c>
      <c r="AA127" s="177" t="s">
        <v>1081</v>
      </c>
      <c r="AB127" s="177" t="s">
        <v>1075</v>
      </c>
      <c r="AC127" s="177">
        <v>1.1000000000000001</v>
      </c>
      <c r="AD127" s="177" t="s">
        <v>1082</v>
      </c>
      <c r="AE127" s="177" t="s">
        <v>1076</v>
      </c>
      <c r="AF127" s="177">
        <v>1</v>
      </c>
      <c r="AG127" s="177">
        <v>15125</v>
      </c>
      <c r="AH127" s="177" t="s">
        <v>121</v>
      </c>
      <c r="AI127" s="177" t="b">
        <v>1</v>
      </c>
      <c r="AJ127" s="180">
        <v>44769</v>
      </c>
      <c r="AK127" s="177" t="s">
        <v>122</v>
      </c>
      <c r="AL127" s="177" t="s">
        <v>109</v>
      </c>
      <c r="AM127" s="177" t="s">
        <v>109</v>
      </c>
      <c r="AN127" s="177" t="b">
        <v>0</v>
      </c>
      <c r="AO127" s="177" t="s">
        <v>109</v>
      </c>
      <c r="AP127" s="177" t="s">
        <v>109</v>
      </c>
      <c r="AQ127" s="177" t="s">
        <v>109</v>
      </c>
      <c r="AR127" s="177" t="b">
        <v>0</v>
      </c>
      <c r="AS127" s="177" t="s">
        <v>1039</v>
      </c>
      <c r="AT127" s="180" t="s">
        <v>118</v>
      </c>
      <c r="AU127" s="177" t="s">
        <v>109</v>
      </c>
      <c r="AV127" s="177" t="s">
        <v>109</v>
      </c>
      <c r="AW127" s="177" t="s">
        <v>109</v>
      </c>
      <c r="AX127" s="177" t="s">
        <v>109</v>
      </c>
      <c r="AY127" s="177" t="s">
        <v>123</v>
      </c>
      <c r="AZ127" s="177" t="s">
        <v>109</v>
      </c>
      <c r="BA127" s="177" t="s">
        <v>125</v>
      </c>
      <c r="BB127" s="177" t="s">
        <v>109</v>
      </c>
      <c r="BC127" s="177" t="s">
        <v>126</v>
      </c>
      <c r="BD127" s="177" t="s">
        <v>109</v>
      </c>
      <c r="BE127" s="180" t="s">
        <v>1083</v>
      </c>
      <c r="BF127" s="180" t="s">
        <v>127</v>
      </c>
      <c r="BG127" s="180" t="s">
        <v>1084</v>
      </c>
      <c r="BH127" s="177" t="s">
        <v>109</v>
      </c>
      <c r="BI127" s="177" t="s">
        <v>109</v>
      </c>
      <c r="BJ127" s="177" t="b">
        <v>1</v>
      </c>
      <c r="BK127" s="233">
        <v>369.23419000000001</v>
      </c>
      <c r="BL127" s="234" t="s">
        <v>128</v>
      </c>
      <c r="BM127" s="233">
        <v>18995.33496</v>
      </c>
      <c r="BN127" s="233">
        <v>0</v>
      </c>
      <c r="BO127" s="233">
        <v>0</v>
      </c>
      <c r="BP127" s="233">
        <v>1667.5722499999999</v>
      </c>
      <c r="BQ127" s="233">
        <v>9071.5198999999993</v>
      </c>
      <c r="BR127" s="233">
        <v>8242.4071399999993</v>
      </c>
      <c r="BS127" s="233">
        <v>13.83567</v>
      </c>
      <c r="BT127" s="233">
        <v>0</v>
      </c>
      <c r="BU127" s="233">
        <v>0</v>
      </c>
      <c r="BV127" s="233">
        <v>0</v>
      </c>
      <c r="BW127" s="233">
        <v>0</v>
      </c>
      <c r="BX127" s="233">
        <v>0</v>
      </c>
      <c r="BY127" s="234">
        <v>0</v>
      </c>
      <c r="BZ127" s="236" t="s">
        <v>109</v>
      </c>
      <c r="CA127" s="236" t="s">
        <v>109</v>
      </c>
      <c r="CB127" s="236" t="s">
        <v>196</v>
      </c>
      <c r="CC127" s="233">
        <v>0</v>
      </c>
      <c r="CD127" s="233">
        <v>0</v>
      </c>
      <c r="CE127" s="233">
        <v>0</v>
      </c>
      <c r="CF127" s="233">
        <v>0</v>
      </c>
      <c r="CG127" s="233">
        <v>18981.49929</v>
      </c>
      <c r="CH127" s="233">
        <v>13.83567</v>
      </c>
      <c r="CI127" s="233">
        <v>0</v>
      </c>
      <c r="CJ127" s="237">
        <v>0</v>
      </c>
      <c r="CK127" s="177" t="s">
        <v>128</v>
      </c>
      <c r="CL127" s="177" t="s">
        <v>128</v>
      </c>
      <c r="CM127" s="155" t="s">
        <v>109</v>
      </c>
      <c r="CN127" s="229">
        <v>1</v>
      </c>
      <c r="CO127" s="229">
        <v>0</v>
      </c>
      <c r="CP127" t="s">
        <v>1085</v>
      </c>
      <c r="CR127" s="248"/>
    </row>
    <row r="128" spans="1:96" ht="14.4" x14ac:dyDescent="0.3">
      <c r="A128">
        <v>125</v>
      </c>
      <c r="B128" s="173" t="s">
        <v>1086</v>
      </c>
      <c r="C128" s="259"/>
      <c r="D128" s="260"/>
      <c r="E128" t="s">
        <v>191</v>
      </c>
      <c r="F128" t="s">
        <v>1079</v>
      </c>
      <c r="G128" s="177" t="s">
        <v>1080</v>
      </c>
      <c r="H128" s="177" t="s">
        <v>112</v>
      </c>
      <c r="I128" s="177" t="s">
        <v>109</v>
      </c>
      <c r="J128" s="177" t="s">
        <v>109</v>
      </c>
      <c r="K128" s="177" t="s">
        <v>1073</v>
      </c>
      <c r="L128" s="177" t="s">
        <v>1074</v>
      </c>
      <c r="M128" s="177" t="s">
        <v>194</v>
      </c>
      <c r="N128" s="177" t="s">
        <v>194</v>
      </c>
      <c r="O128" s="180">
        <v>45786</v>
      </c>
      <c r="P128" s="177" t="s">
        <v>109</v>
      </c>
      <c r="Q128" s="177" t="s">
        <v>109</v>
      </c>
      <c r="R128" s="177" t="s">
        <v>109</v>
      </c>
      <c r="S128" s="177" t="s">
        <v>109</v>
      </c>
      <c r="T128" s="177" t="s">
        <v>116</v>
      </c>
      <c r="U128" s="177" t="s">
        <v>117</v>
      </c>
      <c r="V128" s="177" t="b">
        <v>0</v>
      </c>
      <c r="W128" s="177" t="s">
        <v>109</v>
      </c>
      <c r="X128" s="261"/>
      <c r="Y128" s="177" t="s">
        <v>109</v>
      </c>
      <c r="Z128" s="177">
        <v>66.56</v>
      </c>
      <c r="AA128" s="177" t="s">
        <v>1087</v>
      </c>
      <c r="AB128" s="177" t="s">
        <v>1075</v>
      </c>
      <c r="AC128" s="177">
        <v>1.1000000000000001</v>
      </c>
      <c r="AD128" s="177" t="s">
        <v>1088</v>
      </c>
      <c r="AE128" s="177" t="s">
        <v>1076</v>
      </c>
      <c r="AF128" s="177">
        <v>1</v>
      </c>
      <c r="AG128" s="177">
        <v>15125</v>
      </c>
      <c r="AH128" s="177" t="s">
        <v>121</v>
      </c>
      <c r="AI128" s="177" t="b">
        <v>1</v>
      </c>
      <c r="AJ128" s="180">
        <v>44193</v>
      </c>
      <c r="AK128" s="177" t="s">
        <v>122</v>
      </c>
      <c r="AL128" s="177" t="s">
        <v>109</v>
      </c>
      <c r="AM128" s="177" t="s">
        <v>109</v>
      </c>
      <c r="AN128" s="177" t="b">
        <v>0</v>
      </c>
      <c r="AO128" s="177" t="s">
        <v>109</v>
      </c>
      <c r="AP128" s="177" t="s">
        <v>109</v>
      </c>
      <c r="AQ128" s="177" t="s">
        <v>109</v>
      </c>
      <c r="AR128" s="177" t="b">
        <v>0</v>
      </c>
      <c r="AS128" s="177" t="s">
        <v>1039</v>
      </c>
      <c r="AT128" s="180" t="s">
        <v>118</v>
      </c>
      <c r="AU128" s="177" t="s">
        <v>109</v>
      </c>
      <c r="AV128" s="177" t="s">
        <v>109</v>
      </c>
      <c r="AW128" s="177" t="s">
        <v>109</v>
      </c>
      <c r="AX128" s="177" t="s">
        <v>109</v>
      </c>
      <c r="AY128" s="177" t="s">
        <v>135</v>
      </c>
      <c r="AZ128" s="177" t="s">
        <v>109</v>
      </c>
      <c r="BA128" s="177" t="s">
        <v>125</v>
      </c>
      <c r="BB128" s="177" t="s">
        <v>109</v>
      </c>
      <c r="BC128" s="177" t="s">
        <v>126</v>
      </c>
      <c r="BD128" s="177" t="s">
        <v>109</v>
      </c>
      <c r="BE128" s="180" t="s">
        <v>1089</v>
      </c>
      <c r="BF128" s="180" t="s">
        <v>1068</v>
      </c>
      <c r="BG128" s="180" t="s">
        <v>1090</v>
      </c>
      <c r="BH128" s="177" t="s">
        <v>109</v>
      </c>
      <c r="BI128" s="177" t="s">
        <v>109</v>
      </c>
      <c r="BJ128" s="177" t="b">
        <v>0</v>
      </c>
      <c r="BK128" s="233">
        <v>409.54253</v>
      </c>
      <c r="BL128" s="234" t="s">
        <v>128</v>
      </c>
      <c r="BM128" s="233">
        <v>31558.053478054</v>
      </c>
      <c r="BN128" s="233">
        <v>0</v>
      </c>
      <c r="BO128" s="233">
        <v>13896.31926</v>
      </c>
      <c r="BP128" s="233">
        <v>17555.221580000001</v>
      </c>
      <c r="BQ128" s="233">
        <v>80.769430099999994</v>
      </c>
      <c r="BR128" s="233">
        <v>25.743207999999999</v>
      </c>
      <c r="BS128" s="233">
        <v>0</v>
      </c>
      <c r="BT128" s="233">
        <v>0</v>
      </c>
      <c r="BU128" s="233">
        <v>0</v>
      </c>
      <c r="BV128" s="233">
        <v>0</v>
      </c>
      <c r="BW128" s="233">
        <v>0</v>
      </c>
      <c r="BX128" s="233">
        <v>0</v>
      </c>
      <c r="BY128" s="234">
        <v>0</v>
      </c>
      <c r="BZ128" s="236" t="s">
        <v>109</v>
      </c>
      <c r="CA128" s="236" t="s">
        <v>109</v>
      </c>
      <c r="CB128" s="236" t="s">
        <v>270</v>
      </c>
      <c r="CC128" s="233">
        <v>0</v>
      </c>
      <c r="CD128" s="233">
        <v>0</v>
      </c>
      <c r="CE128" s="233">
        <v>31451.540840000001</v>
      </c>
      <c r="CF128" s="233">
        <v>80.769430099999994</v>
      </c>
      <c r="CG128" s="233">
        <v>25.743207999999999</v>
      </c>
      <c r="CH128" s="233">
        <v>0</v>
      </c>
      <c r="CI128" s="233">
        <v>0</v>
      </c>
      <c r="CJ128" s="237">
        <v>0</v>
      </c>
      <c r="CK128" s="177" t="s">
        <v>128</v>
      </c>
      <c r="CL128" s="177" t="s">
        <v>128</v>
      </c>
      <c r="CM128" s="155" t="s">
        <v>109</v>
      </c>
      <c r="CN128" s="229">
        <v>1</v>
      </c>
      <c r="CO128" s="229">
        <v>0</v>
      </c>
      <c r="CP128" t="s">
        <v>1091</v>
      </c>
      <c r="CR128" s="248"/>
    </row>
    <row r="129" spans="1:96" ht="14.4" x14ac:dyDescent="0.3">
      <c r="A129">
        <v>126</v>
      </c>
      <c r="B129" s="173" t="s">
        <v>1092</v>
      </c>
      <c r="C129" s="259"/>
      <c r="D129" s="260"/>
      <c r="E129" t="s">
        <v>191</v>
      </c>
      <c r="F129" t="s">
        <v>1079</v>
      </c>
      <c r="G129" s="177" t="s">
        <v>1080</v>
      </c>
      <c r="H129" s="177" t="s">
        <v>112</v>
      </c>
      <c r="I129" s="177" t="s">
        <v>109</v>
      </c>
      <c r="J129" s="177" t="s">
        <v>109</v>
      </c>
      <c r="K129" s="177" t="s">
        <v>1073</v>
      </c>
      <c r="L129" s="177" t="s">
        <v>1074</v>
      </c>
      <c r="M129" s="177" t="s">
        <v>194</v>
      </c>
      <c r="N129" s="177" t="s">
        <v>194</v>
      </c>
      <c r="O129" s="180">
        <v>45789</v>
      </c>
      <c r="P129" s="177" t="s">
        <v>109</v>
      </c>
      <c r="Q129" s="177" t="s">
        <v>109</v>
      </c>
      <c r="R129" s="177" t="s">
        <v>109</v>
      </c>
      <c r="S129" s="177" t="s">
        <v>109</v>
      </c>
      <c r="T129" s="177" t="s">
        <v>404</v>
      </c>
      <c r="U129" s="177" t="s">
        <v>117</v>
      </c>
      <c r="V129" s="177" t="b">
        <v>0</v>
      </c>
      <c r="W129" s="177" t="s">
        <v>109</v>
      </c>
      <c r="X129" s="261"/>
      <c r="Y129" s="177" t="s">
        <v>109</v>
      </c>
      <c r="Z129" s="176">
        <v>10.79</v>
      </c>
      <c r="AA129" s="177" t="s">
        <v>1093</v>
      </c>
      <c r="AB129" s="177" t="s">
        <v>1075</v>
      </c>
      <c r="AC129" s="177">
        <v>1.1000000000000001</v>
      </c>
      <c r="AD129" s="177" t="s">
        <v>1094</v>
      </c>
      <c r="AE129" s="177" t="s">
        <v>1076</v>
      </c>
      <c r="AF129" s="177">
        <v>1</v>
      </c>
      <c r="AG129" s="177">
        <v>15125</v>
      </c>
      <c r="AH129" s="177" t="s">
        <v>121</v>
      </c>
      <c r="AI129" s="177" t="b">
        <v>1</v>
      </c>
      <c r="AJ129" s="180">
        <v>44826</v>
      </c>
      <c r="AK129" s="177" t="s">
        <v>122</v>
      </c>
      <c r="AL129" s="177" t="s">
        <v>109</v>
      </c>
      <c r="AM129" s="177" t="s">
        <v>109</v>
      </c>
      <c r="AN129" s="177" t="b">
        <v>0</v>
      </c>
      <c r="AO129" s="177" t="s">
        <v>109</v>
      </c>
      <c r="AP129" s="177" t="s">
        <v>109</v>
      </c>
      <c r="AQ129" s="177" t="s">
        <v>109</v>
      </c>
      <c r="AR129" s="177" t="b">
        <v>0</v>
      </c>
      <c r="AS129" s="177" t="s">
        <v>1039</v>
      </c>
      <c r="AT129" s="180" t="s">
        <v>118</v>
      </c>
      <c r="AU129" s="177" t="s">
        <v>109</v>
      </c>
      <c r="AV129" s="177" t="s">
        <v>109</v>
      </c>
      <c r="AW129" s="177" t="s">
        <v>109</v>
      </c>
      <c r="AX129" s="177" t="s">
        <v>109</v>
      </c>
      <c r="AY129" s="177" t="s">
        <v>123</v>
      </c>
      <c r="AZ129" s="177" t="s">
        <v>109</v>
      </c>
      <c r="BA129" s="177" t="s">
        <v>125</v>
      </c>
      <c r="BB129" s="177" t="s">
        <v>109</v>
      </c>
      <c r="BC129" s="177" t="s">
        <v>126</v>
      </c>
      <c r="BD129" s="177" t="s">
        <v>109</v>
      </c>
      <c r="BE129" s="180" t="s">
        <v>1095</v>
      </c>
      <c r="BF129" s="180" t="s">
        <v>874</v>
      </c>
      <c r="BG129" s="180" t="s">
        <v>1096</v>
      </c>
      <c r="BH129" s="177" t="s">
        <v>109</v>
      </c>
      <c r="BI129" s="177" t="s">
        <v>109</v>
      </c>
      <c r="BJ129" s="177" t="b">
        <v>1</v>
      </c>
      <c r="BK129" s="233">
        <v>4261.2035400000004</v>
      </c>
      <c r="BL129" s="234" t="s">
        <v>128</v>
      </c>
      <c r="BM129" s="233">
        <v>14088.045891467</v>
      </c>
      <c r="BN129" s="233">
        <v>0</v>
      </c>
      <c r="BO129" s="233">
        <v>0</v>
      </c>
      <c r="BP129" s="233">
        <v>864.91170999999997</v>
      </c>
      <c r="BQ129" s="233">
        <v>6654.1274254999998</v>
      </c>
      <c r="BR129" s="233">
        <v>6562.1073219999998</v>
      </c>
      <c r="BS129" s="233">
        <v>6.8994340000000003</v>
      </c>
      <c r="BT129" s="233">
        <v>0</v>
      </c>
      <c r="BU129" s="233">
        <v>0</v>
      </c>
      <c r="BV129" s="233">
        <v>0</v>
      </c>
      <c r="BW129" s="233">
        <v>0</v>
      </c>
      <c r="BX129" s="233">
        <v>0</v>
      </c>
      <c r="BY129" s="234">
        <v>0</v>
      </c>
      <c r="BZ129" s="236" t="s">
        <v>109</v>
      </c>
      <c r="CA129" s="236" t="s">
        <v>109</v>
      </c>
      <c r="CB129" s="236" t="s">
        <v>196</v>
      </c>
      <c r="CC129" s="233">
        <v>0</v>
      </c>
      <c r="CD129" s="233">
        <v>0</v>
      </c>
      <c r="CE129" s="233">
        <v>0</v>
      </c>
      <c r="CF129" s="233">
        <v>0</v>
      </c>
      <c r="CG129" s="233">
        <v>14081.146457500001</v>
      </c>
      <c r="CH129" s="233">
        <v>6.8994340000000003</v>
      </c>
      <c r="CI129" s="233">
        <v>0</v>
      </c>
      <c r="CJ129" s="237">
        <v>0</v>
      </c>
      <c r="CK129" s="177" t="s">
        <v>128</v>
      </c>
      <c r="CL129" s="177" t="s">
        <v>128</v>
      </c>
      <c r="CM129" s="155" t="s">
        <v>109</v>
      </c>
      <c r="CN129" s="229">
        <v>1</v>
      </c>
      <c r="CO129" s="229">
        <v>0</v>
      </c>
      <c r="CP129" t="s">
        <v>1097</v>
      </c>
      <c r="CR129" s="248"/>
    </row>
    <row r="130" spans="1:96" ht="14.4" x14ac:dyDescent="0.3">
      <c r="A130">
        <v>127</v>
      </c>
      <c r="B130" s="173" t="s">
        <v>1098</v>
      </c>
      <c r="C130" s="259"/>
      <c r="D130" s="260"/>
      <c r="E130" t="s">
        <v>329</v>
      </c>
      <c r="F130" t="s">
        <v>1079</v>
      </c>
      <c r="G130" s="177" t="s">
        <v>1080</v>
      </c>
      <c r="H130" s="177" t="s">
        <v>112</v>
      </c>
      <c r="I130" s="177" t="s">
        <v>109</v>
      </c>
      <c r="J130" s="177" t="s">
        <v>109</v>
      </c>
      <c r="K130" s="177" t="s">
        <v>1073</v>
      </c>
      <c r="L130" s="177" t="s">
        <v>1074</v>
      </c>
      <c r="M130" s="177" t="s">
        <v>194</v>
      </c>
      <c r="N130" s="177" t="s">
        <v>194</v>
      </c>
      <c r="O130" s="180">
        <v>45777</v>
      </c>
      <c r="P130" s="177" t="s">
        <v>109</v>
      </c>
      <c r="Q130" s="177" t="s">
        <v>109</v>
      </c>
      <c r="R130" s="177" t="s">
        <v>109</v>
      </c>
      <c r="S130" s="177" t="s">
        <v>109</v>
      </c>
      <c r="T130" s="177" t="s">
        <v>116</v>
      </c>
      <c r="U130" s="177" t="s">
        <v>117</v>
      </c>
      <c r="V130" s="177" t="b">
        <v>0</v>
      </c>
      <c r="W130" s="177" t="s">
        <v>109</v>
      </c>
      <c r="X130" s="261"/>
      <c r="Y130" s="177" t="s">
        <v>109</v>
      </c>
      <c r="Z130" s="176">
        <v>9</v>
      </c>
      <c r="AA130" s="177" t="s">
        <v>1099</v>
      </c>
      <c r="AB130" s="177" t="s">
        <v>1075</v>
      </c>
      <c r="AC130" s="177">
        <v>1.1000000000000001</v>
      </c>
      <c r="AD130" s="177" t="s">
        <v>1100</v>
      </c>
      <c r="AE130" s="177" t="s">
        <v>1076</v>
      </c>
      <c r="AF130" s="177">
        <v>1</v>
      </c>
      <c r="AG130" s="177">
        <v>15125</v>
      </c>
      <c r="AH130" s="177" t="s">
        <v>121</v>
      </c>
      <c r="AI130" s="177" t="b">
        <v>1</v>
      </c>
      <c r="AJ130" s="180">
        <v>44193</v>
      </c>
      <c r="AK130" s="177" t="s">
        <v>122</v>
      </c>
      <c r="AL130" s="177" t="s">
        <v>109</v>
      </c>
      <c r="AM130" s="177" t="s">
        <v>109</v>
      </c>
      <c r="AN130" s="177" t="b">
        <v>0</v>
      </c>
      <c r="AO130" s="177" t="s">
        <v>109</v>
      </c>
      <c r="AP130" s="177" t="s">
        <v>109</v>
      </c>
      <c r="AQ130" s="177" t="s">
        <v>109</v>
      </c>
      <c r="AR130" s="177" t="b">
        <v>0</v>
      </c>
      <c r="AS130" s="177" t="s">
        <v>1039</v>
      </c>
      <c r="AT130" s="180" t="s">
        <v>118</v>
      </c>
      <c r="AU130" s="177" t="s">
        <v>109</v>
      </c>
      <c r="AV130" s="177" t="s">
        <v>109</v>
      </c>
      <c r="AW130" s="177" t="s">
        <v>109</v>
      </c>
      <c r="AX130" s="177" t="s">
        <v>109</v>
      </c>
      <c r="AY130" s="177" t="s">
        <v>123</v>
      </c>
      <c r="AZ130" s="177" t="s">
        <v>109</v>
      </c>
      <c r="BA130" s="177" t="s">
        <v>125</v>
      </c>
      <c r="BB130" s="177" t="s">
        <v>109</v>
      </c>
      <c r="BC130" s="177" t="s">
        <v>126</v>
      </c>
      <c r="BD130" s="177" t="s">
        <v>109</v>
      </c>
      <c r="BE130" s="180" t="s">
        <v>1101</v>
      </c>
      <c r="BF130" s="180" t="s">
        <v>127</v>
      </c>
      <c r="BG130" s="180" t="s">
        <v>1102</v>
      </c>
      <c r="BH130" s="177" t="s">
        <v>109</v>
      </c>
      <c r="BI130" s="177" t="s">
        <v>109</v>
      </c>
      <c r="BJ130" s="177" t="b">
        <v>1</v>
      </c>
      <c r="BK130" s="233">
        <v>3207.26379</v>
      </c>
      <c r="BL130" s="234" t="s">
        <v>128</v>
      </c>
      <c r="BM130" s="233">
        <v>25416.1358029</v>
      </c>
      <c r="BN130" s="233">
        <v>0</v>
      </c>
      <c r="BO130" s="233">
        <v>772.69348000000002</v>
      </c>
      <c r="BP130" s="233">
        <v>2301.7352900000001</v>
      </c>
      <c r="BQ130" s="233">
        <v>7337.3744165999997</v>
      </c>
      <c r="BR130" s="233">
        <v>12821.541388</v>
      </c>
      <c r="BS130" s="233">
        <v>1666.7097100000001</v>
      </c>
      <c r="BT130" s="233">
        <v>516.08151829999997</v>
      </c>
      <c r="BU130" s="233">
        <v>0</v>
      </c>
      <c r="BV130" s="233">
        <v>0</v>
      </c>
      <c r="BW130" s="233">
        <v>0</v>
      </c>
      <c r="BX130" s="233">
        <v>0</v>
      </c>
      <c r="BY130" s="234">
        <v>1538.1799900000005</v>
      </c>
      <c r="BZ130" s="236" t="s">
        <v>109</v>
      </c>
      <c r="CA130" s="236" t="s">
        <v>109</v>
      </c>
      <c r="CB130" s="236" t="s">
        <v>196</v>
      </c>
      <c r="CC130" s="233">
        <v>0</v>
      </c>
      <c r="CD130" s="233">
        <v>0</v>
      </c>
      <c r="CE130" s="233">
        <v>0</v>
      </c>
      <c r="CF130" s="233">
        <v>0</v>
      </c>
      <c r="CG130" s="233">
        <v>23233.3445746</v>
      </c>
      <c r="CH130" s="233">
        <v>128.52972</v>
      </c>
      <c r="CI130" s="233">
        <v>2054.2615083000001</v>
      </c>
      <c r="CJ130" s="237">
        <v>0</v>
      </c>
      <c r="CK130" s="177" t="s">
        <v>128</v>
      </c>
      <c r="CL130" s="177" t="s">
        <v>128</v>
      </c>
      <c r="CM130" s="155" t="s">
        <v>109</v>
      </c>
      <c r="CN130" s="229">
        <v>1</v>
      </c>
      <c r="CO130" s="229">
        <v>0</v>
      </c>
      <c r="CP130" t="s">
        <v>1091</v>
      </c>
      <c r="CR130" s="248"/>
    </row>
    <row r="131" spans="1:96" ht="14.4" x14ac:dyDescent="0.3">
      <c r="A131">
        <v>128</v>
      </c>
      <c r="B131" s="173" t="s">
        <v>1103</v>
      </c>
      <c r="C131" s="259"/>
      <c r="D131" s="260"/>
      <c r="E131" t="s">
        <v>109</v>
      </c>
      <c r="F131" t="s">
        <v>1079</v>
      </c>
      <c r="G131" s="177" t="s">
        <v>1080</v>
      </c>
      <c r="H131" s="177" t="s">
        <v>112</v>
      </c>
      <c r="I131" s="177" t="s">
        <v>109</v>
      </c>
      <c r="J131" s="177" t="s">
        <v>109</v>
      </c>
      <c r="K131" s="177" t="s">
        <v>1073</v>
      </c>
      <c r="L131" s="177" t="s">
        <v>1074</v>
      </c>
      <c r="M131" s="177" t="s">
        <v>194</v>
      </c>
      <c r="N131" s="177" t="s">
        <v>194</v>
      </c>
      <c r="O131" s="180" t="s">
        <v>109</v>
      </c>
      <c r="P131" s="177" t="s">
        <v>109</v>
      </c>
      <c r="Q131" s="177" t="s">
        <v>109</v>
      </c>
      <c r="R131" s="177" t="s">
        <v>109</v>
      </c>
      <c r="S131" s="177" t="s">
        <v>109</v>
      </c>
      <c r="T131" s="177" t="s">
        <v>116</v>
      </c>
      <c r="U131" s="177" t="s">
        <v>117</v>
      </c>
      <c r="V131" s="177" t="b">
        <v>0</v>
      </c>
      <c r="W131" s="177" t="s">
        <v>109</v>
      </c>
      <c r="X131" s="261"/>
      <c r="Y131" s="177" t="s">
        <v>109</v>
      </c>
      <c r="Z131" s="177" t="s">
        <v>109</v>
      </c>
      <c r="AA131" s="177" t="s">
        <v>1104</v>
      </c>
      <c r="AB131" s="177" t="s">
        <v>1075</v>
      </c>
      <c r="AC131" s="177">
        <v>1.1000000000000001</v>
      </c>
      <c r="AD131" s="177" t="s">
        <v>1105</v>
      </c>
      <c r="AE131" s="177" t="s">
        <v>1076</v>
      </c>
      <c r="AF131" s="177">
        <v>1</v>
      </c>
      <c r="AG131" s="177">
        <v>15125</v>
      </c>
      <c r="AH131" s="177" t="s">
        <v>121</v>
      </c>
      <c r="AI131" s="177" t="b">
        <v>1</v>
      </c>
      <c r="AJ131" s="180">
        <v>44789</v>
      </c>
      <c r="AK131" s="177" t="s">
        <v>122</v>
      </c>
      <c r="AL131" s="177" t="s">
        <v>109</v>
      </c>
      <c r="AM131" s="177" t="s">
        <v>109</v>
      </c>
      <c r="AN131" s="177" t="b">
        <v>0</v>
      </c>
      <c r="AO131" s="177" t="s">
        <v>109</v>
      </c>
      <c r="AP131" s="177" t="s">
        <v>109</v>
      </c>
      <c r="AQ131" s="177" t="s">
        <v>109</v>
      </c>
      <c r="AR131" s="177" t="b">
        <v>0</v>
      </c>
      <c r="AS131" s="177" t="s">
        <v>109</v>
      </c>
      <c r="AT131" s="180" t="s">
        <v>118</v>
      </c>
      <c r="AU131" s="177" t="s">
        <v>109</v>
      </c>
      <c r="AV131" s="177" t="s">
        <v>109</v>
      </c>
      <c r="AW131" s="177" t="s">
        <v>109</v>
      </c>
      <c r="AX131" s="177" t="s">
        <v>109</v>
      </c>
      <c r="AY131" s="177" t="s">
        <v>109</v>
      </c>
      <c r="AZ131" s="177" t="s">
        <v>109</v>
      </c>
      <c r="BA131" s="177" t="s">
        <v>125</v>
      </c>
      <c r="BB131" s="177" t="s">
        <v>109</v>
      </c>
      <c r="BC131" s="177" t="s">
        <v>126</v>
      </c>
      <c r="BD131" s="177" t="s">
        <v>109</v>
      </c>
      <c r="BE131" s="180" t="s">
        <v>109</v>
      </c>
      <c r="BF131" s="180" t="s">
        <v>453</v>
      </c>
      <c r="BG131" s="180">
        <v>45291</v>
      </c>
      <c r="BH131" s="177" t="s">
        <v>109</v>
      </c>
      <c r="BI131" s="177" t="s">
        <v>109</v>
      </c>
      <c r="BJ131" s="177" t="b">
        <v>1</v>
      </c>
      <c r="BK131" s="233">
        <v>8105.7853999999998</v>
      </c>
      <c r="BL131" s="234" t="s">
        <v>128</v>
      </c>
      <c r="BM131" s="233">
        <v>6635.5740800000003</v>
      </c>
      <c r="BN131" s="236">
        <v>0</v>
      </c>
      <c r="BO131" s="236">
        <v>0</v>
      </c>
      <c r="BP131" s="236">
        <v>-5.4328900000000004</v>
      </c>
      <c r="BQ131" s="236">
        <v>5728.1337299999996</v>
      </c>
      <c r="BR131" s="236">
        <v>950.26039000000003</v>
      </c>
      <c r="BS131" s="236">
        <v>-37.387149999999998</v>
      </c>
      <c r="BT131" s="236">
        <v>0</v>
      </c>
      <c r="BU131" s="236">
        <v>0</v>
      </c>
      <c r="BV131" s="236">
        <v>0</v>
      </c>
      <c r="BW131" s="236">
        <v>0</v>
      </c>
      <c r="BX131" s="236">
        <v>0</v>
      </c>
      <c r="BY131" s="234">
        <v>0</v>
      </c>
      <c r="BZ131" s="236" t="s">
        <v>109</v>
      </c>
      <c r="CA131" s="236" t="s">
        <v>109</v>
      </c>
      <c r="CB131" s="236" t="s">
        <v>154</v>
      </c>
      <c r="CC131" s="236">
        <v>0</v>
      </c>
      <c r="CD131" s="236">
        <v>0</v>
      </c>
      <c r="CE131" s="236">
        <v>0</v>
      </c>
      <c r="CF131" s="236">
        <v>5722.7008400000004</v>
      </c>
      <c r="CG131" s="236">
        <v>950.26039000000003</v>
      </c>
      <c r="CH131" s="236">
        <v>-37.387149999999998</v>
      </c>
      <c r="CI131" s="236">
        <v>0</v>
      </c>
      <c r="CJ131" s="237">
        <v>0</v>
      </c>
      <c r="CK131" s="177" t="s">
        <v>128</v>
      </c>
      <c r="CL131" s="177" t="s">
        <v>128</v>
      </c>
      <c r="CM131" s="155" t="s">
        <v>109</v>
      </c>
      <c r="CN131" s="229">
        <v>1</v>
      </c>
      <c r="CO131" s="229">
        <v>0</v>
      </c>
      <c r="CP131" t="s">
        <v>1106</v>
      </c>
      <c r="CR131" s="248"/>
    </row>
    <row r="132" spans="1:96" ht="14.4" x14ac:dyDescent="0.3">
      <c r="A132">
        <v>129</v>
      </c>
      <c r="B132" s="173" t="s">
        <v>1107</v>
      </c>
      <c r="C132" s="259"/>
      <c r="D132" s="260"/>
      <c r="E132" t="s">
        <v>1108</v>
      </c>
      <c r="F132" t="s">
        <v>1079</v>
      </c>
      <c r="G132" s="177" t="s">
        <v>1080</v>
      </c>
      <c r="H132" s="177" t="s">
        <v>112</v>
      </c>
      <c r="I132" s="177" t="s">
        <v>109</v>
      </c>
      <c r="J132" s="177" t="s">
        <v>109</v>
      </c>
      <c r="K132" s="177" t="s">
        <v>1073</v>
      </c>
      <c r="L132" s="177" t="s">
        <v>1074</v>
      </c>
      <c r="M132" s="177" t="s">
        <v>194</v>
      </c>
      <c r="N132" s="177" t="s">
        <v>194</v>
      </c>
      <c r="O132" s="180">
        <v>45742</v>
      </c>
      <c r="P132" s="177" t="s">
        <v>109</v>
      </c>
      <c r="Q132" s="177" t="s">
        <v>109</v>
      </c>
      <c r="R132" s="177" t="s">
        <v>109</v>
      </c>
      <c r="S132" s="177" t="s">
        <v>109</v>
      </c>
      <c r="T132" s="177" t="s">
        <v>310</v>
      </c>
      <c r="U132" s="177" t="s">
        <v>117</v>
      </c>
      <c r="V132" s="177" t="b">
        <v>0</v>
      </c>
      <c r="W132" s="177" t="s">
        <v>109</v>
      </c>
      <c r="X132" s="261"/>
      <c r="Y132" s="177" t="s">
        <v>118</v>
      </c>
      <c r="Z132" s="176">
        <v>55.48</v>
      </c>
      <c r="AA132" s="177" t="s">
        <v>1109</v>
      </c>
      <c r="AB132" s="177" t="s">
        <v>1075</v>
      </c>
      <c r="AC132" s="177">
        <v>1.1000000000000001</v>
      </c>
      <c r="AD132" s="177" t="s">
        <v>1110</v>
      </c>
      <c r="AE132" s="177" t="s">
        <v>1076</v>
      </c>
      <c r="AF132" s="177">
        <v>1</v>
      </c>
      <c r="AG132" s="177">
        <v>15125</v>
      </c>
      <c r="AH132" s="177" t="s">
        <v>121</v>
      </c>
      <c r="AI132" s="177" t="b">
        <v>1</v>
      </c>
      <c r="AJ132" s="180">
        <v>44071</v>
      </c>
      <c r="AK132" s="177" t="s">
        <v>122</v>
      </c>
      <c r="AL132" s="177" t="s">
        <v>109</v>
      </c>
      <c r="AM132" s="177" t="s">
        <v>109</v>
      </c>
      <c r="AN132" s="177" t="b">
        <v>0</v>
      </c>
      <c r="AO132" s="177" t="s">
        <v>109</v>
      </c>
      <c r="AP132" s="177" t="s">
        <v>109</v>
      </c>
      <c r="AQ132" s="177" t="s">
        <v>109</v>
      </c>
      <c r="AR132" s="177" t="b">
        <v>0</v>
      </c>
      <c r="AS132" s="177" t="s">
        <v>1039</v>
      </c>
      <c r="AT132" s="180" t="s">
        <v>118</v>
      </c>
      <c r="AU132" s="177" t="s">
        <v>109</v>
      </c>
      <c r="AV132" s="177" t="s">
        <v>109</v>
      </c>
      <c r="AW132" s="177" t="s">
        <v>109</v>
      </c>
      <c r="AX132" s="177" t="s">
        <v>109</v>
      </c>
      <c r="AY132" s="177" t="s">
        <v>135</v>
      </c>
      <c r="AZ132" s="177" t="s">
        <v>109</v>
      </c>
      <c r="BA132" s="177" t="s">
        <v>125</v>
      </c>
      <c r="BB132" s="177" t="s">
        <v>109</v>
      </c>
      <c r="BC132" s="177" t="s">
        <v>126</v>
      </c>
      <c r="BD132" s="177" t="s">
        <v>109</v>
      </c>
      <c r="BE132" s="180" t="s">
        <v>324</v>
      </c>
      <c r="BF132" s="180" t="s">
        <v>1068</v>
      </c>
      <c r="BG132" s="180" t="s">
        <v>1111</v>
      </c>
      <c r="BH132" s="177" t="s">
        <v>109</v>
      </c>
      <c r="BI132" s="177" t="s">
        <v>109</v>
      </c>
      <c r="BJ132" s="177" t="b">
        <v>0</v>
      </c>
      <c r="BK132" s="233">
        <v>19307.087</v>
      </c>
      <c r="BL132" s="234" t="s">
        <v>128</v>
      </c>
      <c r="BM132" s="233">
        <v>20699.22205</v>
      </c>
      <c r="BN132" s="233">
        <v>5414.1155600000002</v>
      </c>
      <c r="BO132" s="233">
        <v>15252.684370000001</v>
      </c>
      <c r="BP132" s="233">
        <v>26.698090000000001</v>
      </c>
      <c r="BQ132" s="233">
        <v>5.72403</v>
      </c>
      <c r="BR132" s="233">
        <v>0</v>
      </c>
      <c r="BS132" s="233">
        <v>0</v>
      </c>
      <c r="BT132" s="233">
        <v>0</v>
      </c>
      <c r="BU132" s="233">
        <v>0</v>
      </c>
      <c r="BV132" s="233">
        <v>0</v>
      </c>
      <c r="BW132" s="233">
        <v>0</v>
      </c>
      <c r="BX132" s="233">
        <v>0</v>
      </c>
      <c r="BY132" s="234">
        <v>0</v>
      </c>
      <c r="BZ132" s="236" t="s">
        <v>109</v>
      </c>
      <c r="CA132" s="236" t="s">
        <v>109</v>
      </c>
      <c r="CB132" s="236" t="s">
        <v>469</v>
      </c>
      <c r="CC132" s="233">
        <v>0</v>
      </c>
      <c r="CD132" s="233">
        <v>20666.799930000001</v>
      </c>
      <c r="CE132" s="233">
        <v>26.698090000000001</v>
      </c>
      <c r="CF132" s="233">
        <v>5.72403</v>
      </c>
      <c r="CG132" s="233">
        <v>0</v>
      </c>
      <c r="CH132" s="233">
        <v>0</v>
      </c>
      <c r="CI132" s="233">
        <v>0</v>
      </c>
      <c r="CJ132" s="237">
        <v>0</v>
      </c>
      <c r="CK132" s="177" t="s">
        <v>128</v>
      </c>
      <c r="CL132" s="177" t="s">
        <v>128</v>
      </c>
      <c r="CM132" s="155" t="s">
        <v>109</v>
      </c>
      <c r="CN132" s="229">
        <v>1</v>
      </c>
      <c r="CO132" s="229">
        <v>0</v>
      </c>
      <c r="CP132" t="s">
        <v>1112</v>
      </c>
      <c r="CR132" s="248"/>
    </row>
    <row r="133" spans="1:96" ht="14.4" x14ac:dyDescent="0.3">
      <c r="A133">
        <v>130</v>
      </c>
      <c r="B133" s="173" t="s">
        <v>1113</v>
      </c>
      <c r="C133" s="259"/>
      <c r="D133" s="260"/>
      <c r="E133" t="s">
        <v>380</v>
      </c>
      <c r="F133" t="s">
        <v>1079</v>
      </c>
      <c r="G133" s="177" t="s">
        <v>1080</v>
      </c>
      <c r="H133" s="177" t="s">
        <v>112</v>
      </c>
      <c r="I133" s="177" t="s">
        <v>109</v>
      </c>
      <c r="J133" s="177" t="s">
        <v>109</v>
      </c>
      <c r="K133" s="177" t="s">
        <v>1073</v>
      </c>
      <c r="L133" s="177" t="s">
        <v>1074</v>
      </c>
      <c r="M133" s="177" t="s">
        <v>194</v>
      </c>
      <c r="N133" s="177" t="s">
        <v>194</v>
      </c>
      <c r="O133" s="180">
        <v>45760</v>
      </c>
      <c r="P133" s="177" t="s">
        <v>109</v>
      </c>
      <c r="Q133" s="177" t="s">
        <v>109</v>
      </c>
      <c r="R133" s="177" t="s">
        <v>109</v>
      </c>
      <c r="S133" s="177" t="s">
        <v>109</v>
      </c>
      <c r="T133" s="177" t="s">
        <v>116</v>
      </c>
      <c r="U133" s="177" t="s">
        <v>117</v>
      </c>
      <c r="V133" s="177" t="b">
        <v>0</v>
      </c>
      <c r="W133" s="177" t="s">
        <v>109</v>
      </c>
      <c r="X133" s="261"/>
      <c r="Y133" s="177" t="s">
        <v>109</v>
      </c>
      <c r="Z133" s="177">
        <v>28.98</v>
      </c>
      <c r="AA133" s="177" t="s">
        <v>1114</v>
      </c>
      <c r="AB133" s="177" t="s">
        <v>1075</v>
      </c>
      <c r="AC133" s="177">
        <v>1.1000000000000001</v>
      </c>
      <c r="AD133" s="177" t="s">
        <v>1115</v>
      </c>
      <c r="AE133" s="177" t="s">
        <v>1076</v>
      </c>
      <c r="AF133" s="177">
        <v>1</v>
      </c>
      <c r="AG133" s="177">
        <v>15125</v>
      </c>
      <c r="AH133" s="177" t="s">
        <v>121</v>
      </c>
      <c r="AI133" s="177" t="b">
        <v>1</v>
      </c>
      <c r="AJ133" s="180">
        <v>44600</v>
      </c>
      <c r="AK133" s="177" t="s">
        <v>122</v>
      </c>
      <c r="AL133" s="177" t="s">
        <v>109</v>
      </c>
      <c r="AM133" s="177" t="s">
        <v>109</v>
      </c>
      <c r="AN133" s="177" t="b">
        <v>0</v>
      </c>
      <c r="AO133" s="177" t="s">
        <v>109</v>
      </c>
      <c r="AP133" s="177" t="s">
        <v>109</v>
      </c>
      <c r="AQ133" s="177" t="s">
        <v>109</v>
      </c>
      <c r="AR133" s="177" t="b">
        <v>0</v>
      </c>
      <c r="AS133" s="177" t="s">
        <v>1039</v>
      </c>
      <c r="AT133" s="180" t="s">
        <v>118</v>
      </c>
      <c r="AU133" s="177" t="s">
        <v>109</v>
      </c>
      <c r="AV133" s="177" t="s">
        <v>109</v>
      </c>
      <c r="AW133" s="177" t="s">
        <v>109</v>
      </c>
      <c r="AX133" s="177" t="s">
        <v>109</v>
      </c>
      <c r="AY133" s="177" t="s">
        <v>123</v>
      </c>
      <c r="AZ133" s="177" t="s">
        <v>109</v>
      </c>
      <c r="BA133" s="177" t="s">
        <v>125</v>
      </c>
      <c r="BB133" s="177" t="s">
        <v>109</v>
      </c>
      <c r="BC133" s="177" t="s">
        <v>126</v>
      </c>
      <c r="BD133" s="177" t="s">
        <v>109</v>
      </c>
      <c r="BE133" s="180" t="s">
        <v>1116</v>
      </c>
      <c r="BF133" s="180" t="s">
        <v>453</v>
      </c>
      <c r="BG133" s="180" t="s">
        <v>540</v>
      </c>
      <c r="BH133" s="177" t="s">
        <v>109</v>
      </c>
      <c r="BI133" s="177" t="s">
        <v>109</v>
      </c>
      <c r="BJ133" s="177" t="b">
        <v>1</v>
      </c>
      <c r="BK133" s="233">
        <v>362.42090999999999</v>
      </c>
      <c r="BL133" s="234" t="s">
        <v>128</v>
      </c>
      <c r="BM133" s="233">
        <v>13799.557209999901</v>
      </c>
      <c r="BN133" s="233">
        <v>0</v>
      </c>
      <c r="BO133" s="233">
        <v>0</v>
      </c>
      <c r="BP133" s="233">
        <v>70.871729999999999</v>
      </c>
      <c r="BQ133" s="233">
        <v>5204.6985599999998</v>
      </c>
      <c r="BR133" s="233">
        <v>8215.3314200000004</v>
      </c>
      <c r="BS133" s="233">
        <v>308.65550000000002</v>
      </c>
      <c r="BT133" s="233">
        <v>0</v>
      </c>
      <c r="BU133" s="233">
        <v>0</v>
      </c>
      <c r="BV133" s="233">
        <v>0</v>
      </c>
      <c r="BW133" s="233">
        <v>0</v>
      </c>
      <c r="BX133" s="233">
        <v>0</v>
      </c>
      <c r="BY133" s="234">
        <v>0</v>
      </c>
      <c r="BZ133" s="236" t="s">
        <v>109</v>
      </c>
      <c r="CA133" s="236" t="s">
        <v>109</v>
      </c>
      <c r="CB133" s="236" t="s">
        <v>196</v>
      </c>
      <c r="CC133" s="233">
        <v>0</v>
      </c>
      <c r="CD133" s="233">
        <v>0</v>
      </c>
      <c r="CE133" s="233">
        <v>0</v>
      </c>
      <c r="CF133" s="233">
        <v>0</v>
      </c>
      <c r="CG133" s="233">
        <v>13490.90171</v>
      </c>
      <c r="CH133" s="233">
        <v>308.65550000000002</v>
      </c>
      <c r="CI133" s="233">
        <v>0</v>
      </c>
      <c r="CJ133" s="237">
        <v>0</v>
      </c>
      <c r="CK133" s="177" t="s">
        <v>128</v>
      </c>
      <c r="CL133" s="177" t="s">
        <v>128</v>
      </c>
      <c r="CM133" s="155" t="s">
        <v>109</v>
      </c>
      <c r="CN133" s="229">
        <v>1</v>
      </c>
      <c r="CO133" s="229">
        <v>0</v>
      </c>
      <c r="CP133" t="s">
        <v>1117</v>
      </c>
      <c r="CR133" s="248"/>
    </row>
    <row r="134" spans="1:96" ht="14.4" x14ac:dyDescent="0.3">
      <c r="A134">
        <v>131</v>
      </c>
      <c r="B134" s="173" t="s">
        <v>1118</v>
      </c>
      <c r="C134" s="259"/>
      <c r="D134" s="260"/>
      <c r="E134" t="s">
        <v>191</v>
      </c>
      <c r="F134" t="s">
        <v>1079</v>
      </c>
      <c r="G134" s="177" t="s">
        <v>1080</v>
      </c>
      <c r="H134" s="177" t="s">
        <v>112</v>
      </c>
      <c r="I134" s="177" t="s">
        <v>109</v>
      </c>
      <c r="J134" s="177" t="s">
        <v>109</v>
      </c>
      <c r="K134" s="177" t="s">
        <v>1073</v>
      </c>
      <c r="L134" s="177" t="s">
        <v>1074</v>
      </c>
      <c r="M134" s="177" t="s">
        <v>194</v>
      </c>
      <c r="N134" s="177" t="s">
        <v>194</v>
      </c>
      <c r="O134" s="180">
        <v>45786</v>
      </c>
      <c r="P134" s="177" t="s">
        <v>109</v>
      </c>
      <c r="Q134" s="177" t="s">
        <v>109</v>
      </c>
      <c r="R134" s="177" t="s">
        <v>109</v>
      </c>
      <c r="S134" s="177" t="s">
        <v>109</v>
      </c>
      <c r="T134" s="177" t="s">
        <v>310</v>
      </c>
      <c r="U134" s="177" t="s">
        <v>117</v>
      </c>
      <c r="V134" s="177" t="b">
        <v>0</v>
      </c>
      <c r="W134" s="177" t="s">
        <v>109</v>
      </c>
      <c r="X134" s="261"/>
      <c r="Y134" s="177" t="s">
        <v>109</v>
      </c>
      <c r="Z134" s="176">
        <v>40.94</v>
      </c>
      <c r="AA134" s="177" t="s">
        <v>1119</v>
      </c>
      <c r="AB134" s="177" t="s">
        <v>1075</v>
      </c>
      <c r="AC134" s="177">
        <v>1.1000000000000001</v>
      </c>
      <c r="AD134" s="177" t="s">
        <v>1120</v>
      </c>
      <c r="AE134" s="177" t="s">
        <v>1076</v>
      </c>
      <c r="AF134" s="177">
        <v>1</v>
      </c>
      <c r="AG134" s="177">
        <v>15125</v>
      </c>
      <c r="AH134" s="177" t="s">
        <v>121</v>
      </c>
      <c r="AI134" s="177" t="b">
        <v>1</v>
      </c>
      <c r="AJ134" s="180">
        <v>44185</v>
      </c>
      <c r="AK134" s="177" t="s">
        <v>122</v>
      </c>
      <c r="AL134" s="177" t="s">
        <v>109</v>
      </c>
      <c r="AM134" s="177" t="s">
        <v>109</v>
      </c>
      <c r="AN134" s="177" t="b">
        <v>0</v>
      </c>
      <c r="AO134" s="177" t="s">
        <v>109</v>
      </c>
      <c r="AP134" s="177" t="s">
        <v>109</v>
      </c>
      <c r="AQ134" s="177" t="s">
        <v>109</v>
      </c>
      <c r="AR134" s="177" t="b">
        <v>0</v>
      </c>
      <c r="AS134" s="177" t="s">
        <v>1039</v>
      </c>
      <c r="AT134" s="180" t="s">
        <v>118</v>
      </c>
      <c r="AU134" s="177" t="s">
        <v>109</v>
      </c>
      <c r="AV134" s="177" t="s">
        <v>109</v>
      </c>
      <c r="AW134" s="177" t="s">
        <v>109</v>
      </c>
      <c r="AX134" s="177" t="s">
        <v>109</v>
      </c>
      <c r="AY134" s="177" t="s">
        <v>109</v>
      </c>
      <c r="AZ134" s="177" t="s">
        <v>109</v>
      </c>
      <c r="BA134" s="177" t="s">
        <v>125</v>
      </c>
      <c r="BB134" s="177" t="s">
        <v>109</v>
      </c>
      <c r="BC134" s="177" t="s">
        <v>126</v>
      </c>
      <c r="BD134" s="177" t="s">
        <v>109</v>
      </c>
      <c r="BE134" s="180" t="s">
        <v>1121</v>
      </c>
      <c r="BF134" s="180" t="s">
        <v>152</v>
      </c>
      <c r="BG134" s="180" t="s">
        <v>1122</v>
      </c>
      <c r="BH134" s="177" t="s">
        <v>109</v>
      </c>
      <c r="BI134" s="177" t="s">
        <v>109</v>
      </c>
      <c r="BJ134" s="177" t="b">
        <v>1</v>
      </c>
      <c r="BK134" s="233">
        <v>371.34123</v>
      </c>
      <c r="BL134" s="234" t="s">
        <v>128</v>
      </c>
      <c r="BM134" s="233">
        <v>29594.661329999999</v>
      </c>
      <c r="BN134" s="233">
        <v>0</v>
      </c>
      <c r="BO134" s="233">
        <v>5938.8692099999998</v>
      </c>
      <c r="BP134" s="233">
        <v>11745.87016</v>
      </c>
      <c r="BQ134" s="233">
        <v>7885.8844099999997</v>
      </c>
      <c r="BR134" s="233">
        <v>3985.3789499999998</v>
      </c>
      <c r="BS134" s="233">
        <v>38.6586</v>
      </c>
      <c r="BT134" s="233">
        <v>0</v>
      </c>
      <c r="BU134" s="233">
        <v>0</v>
      </c>
      <c r="BV134" s="233">
        <v>0</v>
      </c>
      <c r="BW134" s="233">
        <v>0</v>
      </c>
      <c r="BX134" s="233">
        <v>0</v>
      </c>
      <c r="BY134" s="234">
        <v>0</v>
      </c>
      <c r="BZ134" s="236" t="s">
        <v>109</v>
      </c>
      <c r="CA134" s="236" t="s">
        <v>109</v>
      </c>
      <c r="CB134" s="236" t="s">
        <v>154</v>
      </c>
      <c r="CC134" s="233">
        <v>0</v>
      </c>
      <c r="CD134" s="233">
        <v>0</v>
      </c>
      <c r="CE134" s="233">
        <v>0</v>
      </c>
      <c r="CF134" s="233">
        <v>25570.623780000002</v>
      </c>
      <c r="CG134" s="233">
        <v>3985.3789499999998</v>
      </c>
      <c r="CH134" s="233">
        <v>38.6586</v>
      </c>
      <c r="CI134" s="233">
        <v>0</v>
      </c>
      <c r="CJ134" s="237">
        <v>0</v>
      </c>
      <c r="CK134" s="177" t="s">
        <v>128</v>
      </c>
      <c r="CL134" s="177" t="s">
        <v>128</v>
      </c>
      <c r="CM134" s="155" t="s">
        <v>109</v>
      </c>
      <c r="CN134" s="229">
        <v>1</v>
      </c>
      <c r="CO134" s="229">
        <v>0</v>
      </c>
      <c r="CP134" t="s">
        <v>1123</v>
      </c>
      <c r="CR134" s="248"/>
    </row>
    <row r="135" spans="1:96" ht="14.4" x14ac:dyDescent="0.3">
      <c r="A135">
        <v>132</v>
      </c>
      <c r="B135" s="173" t="s">
        <v>1124</v>
      </c>
      <c r="C135" s="259"/>
      <c r="D135" s="260"/>
      <c r="E135" t="s">
        <v>191</v>
      </c>
      <c r="F135" t="s">
        <v>1079</v>
      </c>
      <c r="G135" s="177" t="s">
        <v>1080</v>
      </c>
      <c r="H135" s="177" t="s">
        <v>112</v>
      </c>
      <c r="I135" s="177" t="s">
        <v>109</v>
      </c>
      <c r="J135" s="177" t="s">
        <v>109</v>
      </c>
      <c r="K135" s="177" t="s">
        <v>1073</v>
      </c>
      <c r="L135" s="177" t="s">
        <v>1074</v>
      </c>
      <c r="M135" s="177" t="s">
        <v>194</v>
      </c>
      <c r="N135" s="177" t="s">
        <v>109</v>
      </c>
      <c r="O135" s="180">
        <v>45789</v>
      </c>
      <c r="P135" s="177" t="s">
        <v>109</v>
      </c>
      <c r="Q135" s="177" t="s">
        <v>109</v>
      </c>
      <c r="R135" s="177" t="s">
        <v>109</v>
      </c>
      <c r="S135" s="177" t="s">
        <v>109</v>
      </c>
      <c r="T135" s="177" t="s">
        <v>404</v>
      </c>
      <c r="U135" s="177" t="s">
        <v>117</v>
      </c>
      <c r="V135" s="177" t="b">
        <v>0</v>
      </c>
      <c r="W135" s="177" t="s">
        <v>109</v>
      </c>
      <c r="X135" s="261"/>
      <c r="Y135" s="177" t="s">
        <v>109</v>
      </c>
      <c r="Z135" s="176">
        <v>12.37</v>
      </c>
      <c r="AA135" s="177" t="s">
        <v>1064</v>
      </c>
      <c r="AB135" s="177" t="s">
        <v>1075</v>
      </c>
      <c r="AC135" s="177">
        <v>1.1000000000000001</v>
      </c>
      <c r="AD135" s="177" t="s">
        <v>1125</v>
      </c>
      <c r="AE135" s="177" t="s">
        <v>1076</v>
      </c>
      <c r="AF135" s="177">
        <v>1</v>
      </c>
      <c r="AG135" s="177">
        <v>15125</v>
      </c>
      <c r="AH135" s="177" t="s">
        <v>121</v>
      </c>
      <c r="AI135" s="177" t="b">
        <v>1</v>
      </c>
      <c r="AJ135" s="180">
        <v>43397</v>
      </c>
      <c r="AK135" s="177" t="s">
        <v>122</v>
      </c>
      <c r="AL135" s="177" t="s">
        <v>109</v>
      </c>
      <c r="AM135" s="177" t="s">
        <v>109</v>
      </c>
      <c r="AN135" s="177" t="b">
        <v>0</v>
      </c>
      <c r="AO135" s="177" t="s">
        <v>109</v>
      </c>
      <c r="AP135" s="177" t="s">
        <v>109</v>
      </c>
      <c r="AQ135" s="177" t="s">
        <v>109</v>
      </c>
      <c r="AR135" s="177" t="b">
        <v>0</v>
      </c>
      <c r="AS135" s="177" t="s">
        <v>1039</v>
      </c>
      <c r="AT135" s="180" t="s">
        <v>118</v>
      </c>
      <c r="AU135" s="177" t="s">
        <v>109</v>
      </c>
      <c r="AV135" s="177" t="s">
        <v>109</v>
      </c>
      <c r="AW135" s="177" t="s">
        <v>109</v>
      </c>
      <c r="AX135" s="177" t="s">
        <v>109</v>
      </c>
      <c r="AY135" s="177" t="s">
        <v>135</v>
      </c>
      <c r="AZ135" s="177" t="s">
        <v>109</v>
      </c>
      <c r="BA135" s="177" t="s">
        <v>125</v>
      </c>
      <c r="BB135" s="177" t="s">
        <v>109</v>
      </c>
      <c r="BC135" s="177" t="s">
        <v>126</v>
      </c>
      <c r="BD135" s="177" t="s">
        <v>109</v>
      </c>
      <c r="BE135" s="180" t="s">
        <v>1126</v>
      </c>
      <c r="BF135" s="180" t="s">
        <v>1127</v>
      </c>
      <c r="BG135" s="180" t="s">
        <v>1128</v>
      </c>
      <c r="BH135" s="177" t="s">
        <v>109</v>
      </c>
      <c r="BI135" s="177" t="s">
        <v>109</v>
      </c>
      <c r="BJ135" s="177" t="b">
        <v>0</v>
      </c>
      <c r="BK135" s="233">
        <v>6240.5290000000005</v>
      </c>
      <c r="BL135" s="234" t="s">
        <v>128</v>
      </c>
      <c r="BM135" s="233">
        <v>13779.75179</v>
      </c>
      <c r="BN135" s="233">
        <v>4603.7891099999997</v>
      </c>
      <c r="BO135" s="233">
        <v>39.135719999999999</v>
      </c>
      <c r="BP135" s="233">
        <v>0.64442999999999995</v>
      </c>
      <c r="BQ135" s="233">
        <v>1.4299900000000001</v>
      </c>
      <c r="BR135" s="233">
        <v>32.94697</v>
      </c>
      <c r="BS135" s="233">
        <v>0</v>
      </c>
      <c r="BT135" s="233">
        <v>0</v>
      </c>
      <c r="BU135" s="233">
        <v>0</v>
      </c>
      <c r="BV135" s="233">
        <v>0</v>
      </c>
      <c r="BW135" s="233">
        <v>0</v>
      </c>
      <c r="BX135" s="233">
        <v>0</v>
      </c>
      <c r="BY135" s="234">
        <v>0</v>
      </c>
      <c r="BZ135" s="236" t="s">
        <v>109</v>
      </c>
      <c r="CA135" s="236" t="s">
        <v>109</v>
      </c>
      <c r="CB135" s="236" t="s">
        <v>528</v>
      </c>
      <c r="CC135" s="233">
        <v>13705.59468</v>
      </c>
      <c r="CD135" s="233">
        <v>39.135719999999999</v>
      </c>
      <c r="CE135" s="233">
        <v>0.64442999999999995</v>
      </c>
      <c r="CF135" s="233">
        <v>1.4299900000000001</v>
      </c>
      <c r="CG135" s="233">
        <v>32.94697</v>
      </c>
      <c r="CH135" s="233">
        <v>0</v>
      </c>
      <c r="CI135" s="233">
        <v>0</v>
      </c>
      <c r="CJ135" s="237">
        <v>0</v>
      </c>
      <c r="CK135" s="177" t="s">
        <v>128</v>
      </c>
      <c r="CL135" s="177" t="s">
        <v>128</v>
      </c>
      <c r="CM135" s="155" t="s">
        <v>109</v>
      </c>
      <c r="CN135" s="229">
        <v>1</v>
      </c>
      <c r="CO135" s="229">
        <v>0</v>
      </c>
      <c r="CP135" t="s">
        <v>155</v>
      </c>
      <c r="CR135" s="248"/>
    </row>
    <row r="136" spans="1:96" ht="14.4" x14ac:dyDescent="0.3">
      <c r="A136">
        <v>133</v>
      </c>
      <c r="B136" s="173" t="s">
        <v>1129</v>
      </c>
      <c r="C136" s="259"/>
      <c r="D136" s="260"/>
      <c r="E136" t="s">
        <v>109</v>
      </c>
      <c r="F136" t="s">
        <v>1079</v>
      </c>
      <c r="G136" s="177" t="s">
        <v>1080</v>
      </c>
      <c r="H136" s="177" t="s">
        <v>112</v>
      </c>
      <c r="I136" s="177" t="s">
        <v>109</v>
      </c>
      <c r="J136" s="177" t="s">
        <v>109</v>
      </c>
      <c r="K136" s="177" t="s">
        <v>1073</v>
      </c>
      <c r="L136" s="177" t="s">
        <v>1074</v>
      </c>
      <c r="M136" s="177" t="s">
        <v>194</v>
      </c>
      <c r="N136" s="177" t="s">
        <v>109</v>
      </c>
      <c r="O136" s="180" t="s">
        <v>109</v>
      </c>
      <c r="P136" s="177" t="s">
        <v>109</v>
      </c>
      <c r="Q136" s="177" t="s">
        <v>109</v>
      </c>
      <c r="R136" s="177" t="s">
        <v>109</v>
      </c>
      <c r="S136" s="177" t="s">
        <v>109</v>
      </c>
      <c r="T136" s="177" t="s">
        <v>116</v>
      </c>
      <c r="U136" s="177" t="s">
        <v>117</v>
      </c>
      <c r="V136" s="177" t="b">
        <v>0</v>
      </c>
      <c r="W136" s="177" t="s">
        <v>109</v>
      </c>
      <c r="X136" s="261"/>
      <c r="Y136" s="177" t="s">
        <v>109</v>
      </c>
      <c r="Z136" s="177" t="s">
        <v>109</v>
      </c>
      <c r="AA136" s="177" t="s">
        <v>1064</v>
      </c>
      <c r="AB136" s="177" t="s">
        <v>1075</v>
      </c>
      <c r="AC136" s="177">
        <v>1.1000000000000001</v>
      </c>
      <c r="AD136" s="177" t="s">
        <v>109</v>
      </c>
      <c r="AE136" s="177" t="s">
        <v>1076</v>
      </c>
      <c r="AF136" s="177">
        <v>1</v>
      </c>
      <c r="AG136" s="177">
        <v>15125</v>
      </c>
      <c r="AH136" s="177" t="s">
        <v>121</v>
      </c>
      <c r="AI136" s="177" t="b">
        <v>1</v>
      </c>
      <c r="AJ136" s="180">
        <v>43215</v>
      </c>
      <c r="AK136" s="177" t="s">
        <v>122</v>
      </c>
      <c r="AL136" s="177" t="s">
        <v>109</v>
      </c>
      <c r="AM136" s="177" t="s">
        <v>109</v>
      </c>
      <c r="AN136" s="177" t="b">
        <v>0</v>
      </c>
      <c r="AO136" s="177" t="s">
        <v>109</v>
      </c>
      <c r="AP136" s="177" t="s">
        <v>109</v>
      </c>
      <c r="AQ136" s="177" t="s">
        <v>109</v>
      </c>
      <c r="AR136" s="177" t="b">
        <v>0</v>
      </c>
      <c r="AS136" s="177" t="s">
        <v>1039</v>
      </c>
      <c r="AT136" s="180" t="s">
        <v>118</v>
      </c>
      <c r="AU136" s="177" t="s">
        <v>109</v>
      </c>
      <c r="AV136" s="177" t="s">
        <v>109</v>
      </c>
      <c r="AW136" s="177" t="s">
        <v>109</v>
      </c>
      <c r="AX136" s="177" t="s">
        <v>109</v>
      </c>
      <c r="AY136" s="177" t="s">
        <v>109</v>
      </c>
      <c r="AZ136" s="177" t="s">
        <v>109</v>
      </c>
      <c r="BA136" s="177" t="s">
        <v>125</v>
      </c>
      <c r="BB136" s="177" t="s">
        <v>109</v>
      </c>
      <c r="BC136" s="177" t="s">
        <v>980</v>
      </c>
      <c r="BD136" s="177" t="s">
        <v>109</v>
      </c>
      <c r="BE136" s="180" t="s">
        <v>109</v>
      </c>
      <c r="BF136" s="180" t="s">
        <v>172</v>
      </c>
      <c r="BG136" s="180">
        <v>44530</v>
      </c>
      <c r="BH136" s="177" t="s">
        <v>109</v>
      </c>
      <c r="BI136" s="177" t="s">
        <v>109</v>
      </c>
      <c r="BJ136" s="177" t="b">
        <v>0</v>
      </c>
      <c r="BK136" s="233">
        <v>712.577</v>
      </c>
      <c r="BL136" s="234" t="s">
        <v>128</v>
      </c>
      <c r="BM136" s="233">
        <v>3274.9228427029998</v>
      </c>
      <c r="BN136" s="233">
        <v>577.08555779999995</v>
      </c>
      <c r="BO136" s="233">
        <v>634.3393337</v>
      </c>
      <c r="BP136" s="233">
        <v>53.979410000000001</v>
      </c>
      <c r="BQ136" s="233">
        <v>8.9469999999999994E-2</v>
      </c>
      <c r="BR136" s="233">
        <v>0.40581</v>
      </c>
      <c r="BS136" s="233">
        <v>0</v>
      </c>
      <c r="BT136" s="233">
        <v>0</v>
      </c>
      <c r="BU136" s="233">
        <v>0</v>
      </c>
      <c r="BV136" s="233">
        <v>0</v>
      </c>
      <c r="BW136" s="233">
        <v>0</v>
      </c>
      <c r="BX136" s="233">
        <v>0</v>
      </c>
      <c r="BY136" s="234">
        <v>0</v>
      </c>
      <c r="BZ136" s="236" t="s">
        <v>109</v>
      </c>
      <c r="CA136" s="236" t="s">
        <v>109</v>
      </c>
      <c r="CB136" s="236" t="s">
        <v>460</v>
      </c>
      <c r="CC136" s="233">
        <v>0</v>
      </c>
      <c r="CD136" s="233">
        <v>3220.4481526999998</v>
      </c>
      <c r="CE136" s="233">
        <v>53.979410000000001</v>
      </c>
      <c r="CF136" s="233">
        <v>8.9469999999999994E-2</v>
      </c>
      <c r="CG136" s="233">
        <v>0.40581</v>
      </c>
      <c r="CH136" s="233">
        <v>0</v>
      </c>
      <c r="CI136" s="233">
        <v>0</v>
      </c>
      <c r="CJ136" s="237">
        <v>0</v>
      </c>
      <c r="CK136" s="177" t="s">
        <v>128</v>
      </c>
      <c r="CL136" s="177" t="s">
        <v>128</v>
      </c>
      <c r="CM136" s="155" t="s">
        <v>109</v>
      </c>
      <c r="CN136" s="229">
        <v>1</v>
      </c>
      <c r="CO136" s="229">
        <v>0</v>
      </c>
      <c r="CP136" t="s">
        <v>155</v>
      </c>
      <c r="CR136" s="248"/>
    </row>
    <row r="137" spans="1:96" ht="14.4" x14ac:dyDescent="0.3">
      <c r="A137">
        <v>134</v>
      </c>
      <c r="B137" s="173" t="s">
        <v>1130</v>
      </c>
      <c r="C137" s="259"/>
      <c r="D137" s="260"/>
      <c r="E137" t="s">
        <v>1131</v>
      </c>
      <c r="F137" t="s">
        <v>1079</v>
      </c>
      <c r="G137" s="177" t="s">
        <v>1080</v>
      </c>
      <c r="H137" s="177" t="s">
        <v>112</v>
      </c>
      <c r="I137" s="177" t="s">
        <v>109</v>
      </c>
      <c r="J137" s="177" t="s">
        <v>109</v>
      </c>
      <c r="K137" s="177" t="s">
        <v>1073</v>
      </c>
      <c r="L137" s="177" t="s">
        <v>1074</v>
      </c>
      <c r="M137" s="177" t="s">
        <v>194</v>
      </c>
      <c r="N137" s="177" t="s">
        <v>194</v>
      </c>
      <c r="O137" s="180">
        <v>45776</v>
      </c>
      <c r="P137" s="177" t="s">
        <v>109</v>
      </c>
      <c r="Q137" s="177" t="s">
        <v>109</v>
      </c>
      <c r="R137" s="177" t="s">
        <v>109</v>
      </c>
      <c r="S137" s="177" t="s">
        <v>109</v>
      </c>
      <c r="T137" s="177" t="s">
        <v>404</v>
      </c>
      <c r="U137" s="177" t="s">
        <v>117</v>
      </c>
      <c r="V137" s="177" t="b">
        <v>0</v>
      </c>
      <c r="W137" s="177" t="s">
        <v>109</v>
      </c>
      <c r="X137" s="261"/>
      <c r="Y137" s="177" t="s">
        <v>118</v>
      </c>
      <c r="Z137" s="177">
        <v>6.2</v>
      </c>
      <c r="AA137" s="177" t="s">
        <v>1132</v>
      </c>
      <c r="AB137" s="177" t="s">
        <v>1075</v>
      </c>
      <c r="AC137" s="177">
        <v>1.1000000000000001</v>
      </c>
      <c r="AD137" s="177" t="s">
        <v>1133</v>
      </c>
      <c r="AE137" s="177" t="s">
        <v>1076</v>
      </c>
      <c r="AF137" s="177">
        <v>1</v>
      </c>
      <c r="AG137" s="177">
        <v>15125</v>
      </c>
      <c r="AH137" s="177" t="s">
        <v>121</v>
      </c>
      <c r="AI137" s="177" t="b">
        <v>1</v>
      </c>
      <c r="AJ137" s="180">
        <v>45162</v>
      </c>
      <c r="AK137" s="177" t="s">
        <v>122</v>
      </c>
      <c r="AL137" s="177" t="s">
        <v>109</v>
      </c>
      <c r="AM137" s="177" t="s">
        <v>109</v>
      </c>
      <c r="AN137" s="177" t="b">
        <v>0</v>
      </c>
      <c r="AO137" s="177" t="s">
        <v>109</v>
      </c>
      <c r="AP137" s="177" t="s">
        <v>109</v>
      </c>
      <c r="AQ137" s="177" t="s">
        <v>109</v>
      </c>
      <c r="AR137" s="177" t="b">
        <v>0</v>
      </c>
      <c r="AS137" s="177" t="s">
        <v>109</v>
      </c>
      <c r="AT137" s="180" t="s">
        <v>118</v>
      </c>
      <c r="AU137" s="177" t="s">
        <v>109</v>
      </c>
      <c r="AV137" s="177" t="s">
        <v>109</v>
      </c>
      <c r="AW137" s="177" t="s">
        <v>109</v>
      </c>
      <c r="AX137" s="177" t="s">
        <v>109</v>
      </c>
      <c r="AY137" s="177" t="s">
        <v>123</v>
      </c>
      <c r="AZ137" s="177" t="s">
        <v>109</v>
      </c>
      <c r="BA137" s="177" t="s">
        <v>125</v>
      </c>
      <c r="BB137" s="177" t="s">
        <v>109</v>
      </c>
      <c r="BC137" s="177" t="s">
        <v>863</v>
      </c>
      <c r="BD137" s="177" t="s">
        <v>109</v>
      </c>
      <c r="BE137" s="180" t="s">
        <v>1134</v>
      </c>
      <c r="BF137" s="180" t="s">
        <v>1135</v>
      </c>
      <c r="BG137" s="180" t="s">
        <v>1136</v>
      </c>
      <c r="BH137" s="177" t="s">
        <v>699</v>
      </c>
      <c r="BI137" s="177" t="s">
        <v>109</v>
      </c>
      <c r="BJ137" s="177" t="b">
        <v>1</v>
      </c>
      <c r="BK137" s="233">
        <v>17520.026229999999</v>
      </c>
      <c r="BL137" s="234" t="s">
        <v>128</v>
      </c>
      <c r="BM137" s="233">
        <v>15460.641973195299</v>
      </c>
      <c r="BN137" s="233">
        <v>0</v>
      </c>
      <c r="BO137" s="233">
        <v>0</v>
      </c>
      <c r="BP137" s="233">
        <v>0</v>
      </c>
      <c r="BQ137" s="233">
        <v>0.21243999999999999</v>
      </c>
      <c r="BR137" s="233">
        <v>3086.29529</v>
      </c>
      <c r="BS137" s="233">
        <v>453.46226000000001</v>
      </c>
      <c r="BT137" s="233">
        <v>11920.6719832</v>
      </c>
      <c r="BU137" s="233">
        <v>0</v>
      </c>
      <c r="BV137" s="233">
        <v>0</v>
      </c>
      <c r="BW137" s="233">
        <v>0</v>
      </c>
      <c r="BX137" s="233">
        <v>0</v>
      </c>
      <c r="BY137" s="234">
        <v>3540</v>
      </c>
      <c r="BZ137" s="236" t="s">
        <v>109</v>
      </c>
      <c r="CA137" s="236" t="s">
        <v>109</v>
      </c>
      <c r="CB137" s="236">
        <v>2025</v>
      </c>
      <c r="CC137" s="233">
        <v>0</v>
      </c>
      <c r="CD137" s="233">
        <v>0</v>
      </c>
      <c r="CE137" s="233">
        <v>0</v>
      </c>
      <c r="CF137" s="233">
        <v>0</v>
      </c>
      <c r="CG137" s="233">
        <v>0</v>
      </c>
      <c r="CH137" s="233">
        <v>0</v>
      </c>
      <c r="CI137" s="233">
        <v>15460.641973199999</v>
      </c>
      <c r="CJ137" s="237">
        <v>0</v>
      </c>
      <c r="CK137" s="177" t="s">
        <v>128</v>
      </c>
      <c r="CL137" s="177" t="s">
        <v>128</v>
      </c>
      <c r="CM137" s="155" t="s">
        <v>109</v>
      </c>
      <c r="CN137" s="229">
        <v>1</v>
      </c>
      <c r="CO137" s="229">
        <v>0</v>
      </c>
      <c r="CP137" t="s">
        <v>1091</v>
      </c>
      <c r="CR137" s="248"/>
    </row>
    <row r="138" spans="1:96" ht="14.4" x14ac:dyDescent="0.3">
      <c r="A138">
        <v>135</v>
      </c>
      <c r="B138" s="173" t="s">
        <v>1137</v>
      </c>
      <c r="C138" s="259"/>
      <c r="D138" s="260"/>
      <c r="E138" t="s">
        <v>1138</v>
      </c>
      <c r="F138" t="s">
        <v>1079</v>
      </c>
      <c r="G138" s="177" t="s">
        <v>1080</v>
      </c>
      <c r="H138" s="177" t="s">
        <v>112</v>
      </c>
      <c r="I138" s="177" t="s">
        <v>109</v>
      </c>
      <c r="J138" s="177" t="s">
        <v>109</v>
      </c>
      <c r="K138" s="177" t="s">
        <v>1073</v>
      </c>
      <c r="L138" s="177" t="s">
        <v>1074</v>
      </c>
      <c r="M138" s="177" t="s">
        <v>194</v>
      </c>
      <c r="N138" s="177" t="s">
        <v>194</v>
      </c>
      <c r="O138" s="180">
        <v>45783</v>
      </c>
      <c r="P138" s="177" t="s">
        <v>109</v>
      </c>
      <c r="Q138" s="177" t="s">
        <v>109</v>
      </c>
      <c r="R138" s="177" t="s">
        <v>109</v>
      </c>
      <c r="S138" s="177" t="s">
        <v>109</v>
      </c>
      <c r="T138" s="177" t="s">
        <v>404</v>
      </c>
      <c r="U138" s="177" t="s">
        <v>117</v>
      </c>
      <c r="V138" s="177" t="b">
        <v>0</v>
      </c>
      <c r="W138" s="177" t="s">
        <v>109</v>
      </c>
      <c r="X138" s="261"/>
      <c r="Y138" s="177" t="s">
        <v>118</v>
      </c>
      <c r="Z138" s="177">
        <v>4</v>
      </c>
      <c r="AA138" s="177" t="s">
        <v>1139</v>
      </c>
      <c r="AB138" s="177" t="s">
        <v>1075</v>
      </c>
      <c r="AC138" s="177">
        <v>1.1000000000000001</v>
      </c>
      <c r="AD138" s="177" t="s">
        <v>1140</v>
      </c>
      <c r="AE138" s="177" t="s">
        <v>1076</v>
      </c>
      <c r="AF138" s="177">
        <v>1</v>
      </c>
      <c r="AG138" s="177">
        <v>15125</v>
      </c>
      <c r="AH138" s="177" t="s">
        <v>121</v>
      </c>
      <c r="AI138" s="177" t="b">
        <v>1</v>
      </c>
      <c r="AJ138" s="180">
        <v>44600</v>
      </c>
      <c r="AK138" s="177" t="s">
        <v>122</v>
      </c>
      <c r="AL138" s="177" t="s">
        <v>109</v>
      </c>
      <c r="AM138" s="177" t="s">
        <v>109</v>
      </c>
      <c r="AN138" s="177" t="b">
        <v>0</v>
      </c>
      <c r="AO138" s="177" t="s">
        <v>109</v>
      </c>
      <c r="AP138" s="177" t="s">
        <v>109</v>
      </c>
      <c r="AQ138" s="177" t="s">
        <v>109</v>
      </c>
      <c r="AR138" s="177" t="b">
        <v>0</v>
      </c>
      <c r="AS138" s="177" t="s">
        <v>109</v>
      </c>
      <c r="AT138" s="180" t="s">
        <v>118</v>
      </c>
      <c r="AU138" s="177" t="s">
        <v>109</v>
      </c>
      <c r="AV138" s="177" t="s">
        <v>109</v>
      </c>
      <c r="AW138" s="177" t="s">
        <v>109</v>
      </c>
      <c r="AX138" s="177" t="s">
        <v>109</v>
      </c>
      <c r="AY138" s="177" t="s">
        <v>123</v>
      </c>
      <c r="AZ138" s="177" t="s">
        <v>109</v>
      </c>
      <c r="BA138" s="177" t="s">
        <v>125</v>
      </c>
      <c r="BB138" s="177" t="s">
        <v>109</v>
      </c>
      <c r="BC138" s="177" t="s">
        <v>126</v>
      </c>
      <c r="BD138" s="177" t="s">
        <v>109</v>
      </c>
      <c r="BE138" s="180" t="s">
        <v>1141</v>
      </c>
      <c r="BF138" s="180" t="s">
        <v>453</v>
      </c>
      <c r="BG138" s="180" t="s">
        <v>1142</v>
      </c>
      <c r="BH138" s="177" t="s">
        <v>109</v>
      </c>
      <c r="BI138" s="177" t="s">
        <v>109</v>
      </c>
      <c r="BJ138" s="177" t="b">
        <v>1</v>
      </c>
      <c r="BK138" s="233">
        <v>362.42090999999999</v>
      </c>
      <c r="BL138" s="234" t="s">
        <v>128</v>
      </c>
      <c r="BM138" s="233">
        <v>2584.2122399999998</v>
      </c>
      <c r="BN138" s="233">
        <v>0</v>
      </c>
      <c r="BO138" s="233">
        <v>0</v>
      </c>
      <c r="BP138" s="233">
        <v>0</v>
      </c>
      <c r="BQ138" s="233">
        <v>7.1300000000000002E-2</v>
      </c>
      <c r="BR138" s="233">
        <v>2557.2476700000002</v>
      </c>
      <c r="BS138" s="233">
        <v>26.893270000000001</v>
      </c>
      <c r="BT138" s="233">
        <v>0</v>
      </c>
      <c r="BU138" s="233">
        <v>0</v>
      </c>
      <c r="BV138" s="233">
        <v>0</v>
      </c>
      <c r="BW138" s="233">
        <v>0</v>
      </c>
      <c r="BX138" s="233">
        <v>0</v>
      </c>
      <c r="BY138" s="234">
        <v>0</v>
      </c>
      <c r="BZ138" s="236" t="s">
        <v>109</v>
      </c>
      <c r="CA138" s="236" t="s">
        <v>109</v>
      </c>
      <c r="CB138" s="236" t="s">
        <v>196</v>
      </c>
      <c r="CC138" s="233">
        <v>0</v>
      </c>
      <c r="CD138" s="233">
        <v>0</v>
      </c>
      <c r="CE138" s="233">
        <v>0</v>
      </c>
      <c r="CF138" s="233">
        <v>0</v>
      </c>
      <c r="CG138" s="233">
        <v>2557.3189699999998</v>
      </c>
      <c r="CH138" s="233">
        <v>26.893270000000001</v>
      </c>
      <c r="CI138" s="233">
        <v>0</v>
      </c>
      <c r="CJ138" s="237">
        <v>0</v>
      </c>
      <c r="CK138" s="177" t="s">
        <v>128</v>
      </c>
      <c r="CL138" s="177" t="s">
        <v>128</v>
      </c>
      <c r="CM138" s="155" t="s">
        <v>109</v>
      </c>
      <c r="CN138" s="229">
        <v>1</v>
      </c>
      <c r="CO138" s="229">
        <v>0</v>
      </c>
      <c r="CP138" t="s">
        <v>1091</v>
      </c>
      <c r="CR138" s="248"/>
    </row>
    <row r="139" spans="1:96" ht="14.4" x14ac:dyDescent="0.3">
      <c r="A139">
        <v>136</v>
      </c>
      <c r="B139" s="173" t="s">
        <v>1143</v>
      </c>
      <c r="C139" s="259"/>
      <c r="D139" s="260"/>
      <c r="E139" t="s">
        <v>483</v>
      </c>
      <c r="F139" t="s">
        <v>1079</v>
      </c>
      <c r="G139" s="177" t="s">
        <v>1080</v>
      </c>
      <c r="H139" s="177" t="s">
        <v>112</v>
      </c>
      <c r="I139" s="177" t="s">
        <v>109</v>
      </c>
      <c r="J139" s="177" t="s">
        <v>109</v>
      </c>
      <c r="K139" s="177" t="s">
        <v>1073</v>
      </c>
      <c r="L139" s="177" t="s">
        <v>1074</v>
      </c>
      <c r="M139" s="177" t="s">
        <v>194</v>
      </c>
      <c r="N139" s="177" t="s">
        <v>194</v>
      </c>
      <c r="O139" s="180">
        <v>45769</v>
      </c>
      <c r="P139" s="177" t="s">
        <v>109</v>
      </c>
      <c r="Q139" s="177" t="s">
        <v>109</v>
      </c>
      <c r="R139" s="177" t="s">
        <v>109</v>
      </c>
      <c r="S139" s="177" t="s">
        <v>109</v>
      </c>
      <c r="T139" s="177" t="s">
        <v>116</v>
      </c>
      <c r="U139" s="177" t="s">
        <v>117</v>
      </c>
      <c r="V139" s="177" t="b">
        <v>0</v>
      </c>
      <c r="W139" s="177" t="s">
        <v>109</v>
      </c>
      <c r="X139" s="261"/>
      <c r="Y139" s="177" t="s">
        <v>118</v>
      </c>
      <c r="Z139" s="177">
        <v>7.4</v>
      </c>
      <c r="AA139" s="177" t="s">
        <v>1144</v>
      </c>
      <c r="AB139" s="177" t="s">
        <v>1075</v>
      </c>
      <c r="AC139" s="177">
        <v>1.1000000000000001</v>
      </c>
      <c r="AD139" s="177" t="s">
        <v>1145</v>
      </c>
      <c r="AE139" s="177" t="s">
        <v>1076</v>
      </c>
      <c r="AF139" s="177">
        <v>1</v>
      </c>
      <c r="AG139" s="177">
        <v>15125</v>
      </c>
      <c r="AH139" s="177" t="s">
        <v>121</v>
      </c>
      <c r="AI139" s="177" t="b">
        <v>1</v>
      </c>
      <c r="AJ139" s="180">
        <v>45369</v>
      </c>
      <c r="AK139" s="177" t="s">
        <v>122</v>
      </c>
      <c r="AL139" s="177" t="s">
        <v>109</v>
      </c>
      <c r="AM139" s="177" t="s">
        <v>109</v>
      </c>
      <c r="AN139" s="177" t="b">
        <v>0</v>
      </c>
      <c r="AO139" s="177" t="s">
        <v>109</v>
      </c>
      <c r="AP139" s="177" t="s">
        <v>109</v>
      </c>
      <c r="AQ139" s="177" t="s">
        <v>109</v>
      </c>
      <c r="AR139" s="177" t="b">
        <v>0</v>
      </c>
      <c r="AS139" s="177" t="s">
        <v>109</v>
      </c>
      <c r="AT139" s="180" t="s">
        <v>118</v>
      </c>
      <c r="AU139" s="177" t="s">
        <v>109</v>
      </c>
      <c r="AV139" s="177" t="s">
        <v>109</v>
      </c>
      <c r="AW139" s="177" t="s">
        <v>109</v>
      </c>
      <c r="AX139" s="177" t="s">
        <v>109</v>
      </c>
      <c r="AY139" s="177" t="s">
        <v>109</v>
      </c>
      <c r="AZ139" s="177" t="s">
        <v>109</v>
      </c>
      <c r="BA139" s="177" t="s">
        <v>125</v>
      </c>
      <c r="BB139" s="177" t="s">
        <v>109</v>
      </c>
      <c r="BC139" s="177" t="s">
        <v>1146</v>
      </c>
      <c r="BD139" s="177" t="s">
        <v>109</v>
      </c>
      <c r="BE139" s="180">
        <v>45839</v>
      </c>
      <c r="BF139" s="180" t="s">
        <v>1147</v>
      </c>
      <c r="BG139" s="180" t="s">
        <v>892</v>
      </c>
      <c r="BH139" s="177" t="s">
        <v>109</v>
      </c>
      <c r="BI139" s="177" t="s">
        <v>109</v>
      </c>
      <c r="BJ139" s="177" t="b">
        <v>0</v>
      </c>
      <c r="BK139" s="233">
        <v>26711.440419999999</v>
      </c>
      <c r="BL139" s="234" t="s">
        <v>128</v>
      </c>
      <c r="BM139" s="233">
        <v>28809.0234629474</v>
      </c>
      <c r="BN139" s="233">
        <v>0</v>
      </c>
      <c r="BO139" s="233">
        <v>0</v>
      </c>
      <c r="BP139" s="233">
        <v>0</v>
      </c>
      <c r="BQ139" s="233">
        <v>0</v>
      </c>
      <c r="BR139" s="233">
        <v>62.544780000000003</v>
      </c>
      <c r="BS139" s="233">
        <v>41.345910000000003</v>
      </c>
      <c r="BT139" s="233">
        <v>10116.990429400001</v>
      </c>
      <c r="BU139" s="233">
        <v>18588.1423435</v>
      </c>
      <c r="BV139" s="233">
        <v>0</v>
      </c>
      <c r="BW139" s="233">
        <v>0</v>
      </c>
      <c r="BX139" s="233">
        <v>0</v>
      </c>
      <c r="BY139" s="234">
        <v>104</v>
      </c>
      <c r="BZ139" s="236" t="s">
        <v>109</v>
      </c>
      <c r="CA139" s="236" t="s">
        <v>109</v>
      </c>
      <c r="CB139" s="236" t="s">
        <v>109</v>
      </c>
      <c r="CC139" s="233">
        <v>0</v>
      </c>
      <c r="CD139" s="233">
        <v>0</v>
      </c>
      <c r="CE139" s="233">
        <v>0</v>
      </c>
      <c r="CF139" s="233">
        <v>0</v>
      </c>
      <c r="CG139" s="233">
        <v>0</v>
      </c>
      <c r="CH139" s="233">
        <v>0</v>
      </c>
      <c r="CI139" s="233">
        <v>0</v>
      </c>
      <c r="CJ139" s="237">
        <v>0</v>
      </c>
      <c r="CK139" s="177" t="s">
        <v>128</v>
      </c>
      <c r="CL139" s="177" t="s">
        <v>128</v>
      </c>
      <c r="CM139" s="155" t="s">
        <v>109</v>
      </c>
      <c r="CN139" s="229">
        <v>1</v>
      </c>
      <c r="CO139" s="229">
        <v>0</v>
      </c>
      <c r="CP139" t="s">
        <v>1091</v>
      </c>
      <c r="CR139" s="248"/>
    </row>
    <row r="140" spans="1:96" ht="14.4" x14ac:dyDescent="0.3">
      <c r="A140">
        <v>137</v>
      </c>
      <c r="B140" s="173" t="s">
        <v>1148</v>
      </c>
      <c r="C140" s="259"/>
      <c r="D140" s="260"/>
      <c r="E140" t="s">
        <v>1149</v>
      </c>
      <c r="F140" t="s">
        <v>1150</v>
      </c>
      <c r="G140" s="177" t="s">
        <v>111</v>
      </c>
      <c r="H140" s="177" t="s">
        <v>113</v>
      </c>
      <c r="I140" s="177" t="s">
        <v>109</v>
      </c>
      <c r="J140" s="177" t="s">
        <v>109</v>
      </c>
      <c r="K140" s="177" t="s">
        <v>114</v>
      </c>
      <c r="L140" s="177" t="s">
        <v>115</v>
      </c>
      <c r="M140" s="177" t="s">
        <v>109</v>
      </c>
      <c r="N140" s="177" t="s">
        <v>109</v>
      </c>
      <c r="O140" s="180">
        <v>45796</v>
      </c>
      <c r="P140" s="177" t="s">
        <v>1151</v>
      </c>
      <c r="Q140" s="177" t="s">
        <v>109</v>
      </c>
      <c r="R140" s="177" t="s">
        <v>1052</v>
      </c>
      <c r="S140" s="177" t="s">
        <v>109</v>
      </c>
      <c r="T140" s="177" t="s">
        <v>116</v>
      </c>
      <c r="U140" s="177" t="s">
        <v>117</v>
      </c>
      <c r="V140" s="177" t="b">
        <v>0</v>
      </c>
      <c r="W140" s="177" t="s">
        <v>109</v>
      </c>
      <c r="X140" s="261"/>
      <c r="Y140" s="177">
        <v>0.120944</v>
      </c>
      <c r="Z140" s="177" t="s">
        <v>118</v>
      </c>
      <c r="AA140" s="177">
        <v>69</v>
      </c>
      <c r="AB140" s="177" t="s">
        <v>373</v>
      </c>
      <c r="AC140" s="177">
        <v>1.2</v>
      </c>
      <c r="AD140" s="177" t="s">
        <v>1152</v>
      </c>
      <c r="AE140" s="177" t="s">
        <v>1153</v>
      </c>
      <c r="AF140" s="177">
        <v>1</v>
      </c>
      <c r="AG140" s="177">
        <v>15246</v>
      </c>
      <c r="AH140" s="177" t="s">
        <v>121</v>
      </c>
      <c r="AI140" s="177" t="b">
        <v>1</v>
      </c>
      <c r="AJ140" s="180">
        <v>43529</v>
      </c>
      <c r="AK140" s="177" t="s">
        <v>122</v>
      </c>
      <c r="AL140" s="177">
        <v>2015</v>
      </c>
      <c r="AM140" s="177" t="s">
        <v>109</v>
      </c>
      <c r="AN140" s="177" t="b">
        <v>0</v>
      </c>
      <c r="AO140" s="177" t="s">
        <v>109</v>
      </c>
      <c r="AP140" s="177" t="s">
        <v>109</v>
      </c>
      <c r="AQ140" s="177" t="s">
        <v>118</v>
      </c>
      <c r="AR140" s="177" t="b">
        <v>0</v>
      </c>
      <c r="AS140" s="177" t="s">
        <v>123</v>
      </c>
      <c r="AT140" s="180" t="s">
        <v>123</v>
      </c>
      <c r="AU140" s="177" t="s">
        <v>124</v>
      </c>
      <c r="AV140" s="177" t="s">
        <v>109</v>
      </c>
      <c r="AW140" s="177" t="s">
        <v>118</v>
      </c>
      <c r="AX140" s="177" t="s">
        <v>118</v>
      </c>
      <c r="AY140" s="177" t="s">
        <v>135</v>
      </c>
      <c r="AZ140" s="177" t="s">
        <v>109</v>
      </c>
      <c r="BA140" s="177" t="s">
        <v>125</v>
      </c>
      <c r="BB140" s="177" t="s">
        <v>109</v>
      </c>
      <c r="BC140" s="177" t="s">
        <v>126</v>
      </c>
      <c r="BD140" s="177" t="s">
        <v>109</v>
      </c>
      <c r="BE140" s="180" t="s">
        <v>1154</v>
      </c>
      <c r="BF140" s="180" t="s">
        <v>1155</v>
      </c>
      <c r="BG140" s="180" t="s">
        <v>1155</v>
      </c>
      <c r="BH140" s="177" t="s">
        <v>109</v>
      </c>
      <c r="BI140" s="177" t="s">
        <v>109</v>
      </c>
      <c r="BJ140" s="177" t="b">
        <v>0</v>
      </c>
      <c r="BK140" s="233">
        <v>5719.0763200000001</v>
      </c>
      <c r="BL140" s="234" t="s">
        <v>128</v>
      </c>
      <c r="BM140" s="254">
        <v>7937.0510000000004</v>
      </c>
      <c r="BN140" s="254">
        <v>3095.1825609000007</v>
      </c>
      <c r="BO140" s="254">
        <v>1461.0882015999998</v>
      </c>
      <c r="BP140" s="254">
        <v>8.9299181999999995</v>
      </c>
      <c r="BQ140" s="254">
        <v>0</v>
      </c>
      <c r="BR140" s="254">
        <v>0</v>
      </c>
      <c r="BS140" s="254">
        <v>0</v>
      </c>
      <c r="BT140" s="254">
        <v>0</v>
      </c>
      <c r="BU140" s="254">
        <v>0</v>
      </c>
      <c r="BV140" s="254">
        <v>0</v>
      </c>
      <c r="BW140" s="254">
        <v>0</v>
      </c>
      <c r="BX140" s="254">
        <v>0</v>
      </c>
      <c r="BY140" s="255">
        <v>0</v>
      </c>
      <c r="BZ140" s="236" t="s">
        <v>109</v>
      </c>
      <c r="CA140" s="236" t="s">
        <v>109</v>
      </c>
      <c r="CB140" s="236" t="s">
        <v>157</v>
      </c>
      <c r="CC140" s="254">
        <v>208.2046216</v>
      </c>
      <c r="CD140" s="254">
        <v>7548.5966055000008</v>
      </c>
      <c r="CE140" s="254">
        <v>8.9299181999999995</v>
      </c>
      <c r="CF140" s="254">
        <v>0</v>
      </c>
      <c r="CG140" s="254">
        <v>0</v>
      </c>
      <c r="CH140" s="254">
        <v>0</v>
      </c>
      <c r="CI140" s="254">
        <v>0</v>
      </c>
      <c r="CJ140" s="237">
        <v>0</v>
      </c>
      <c r="CK140" s="177" t="s">
        <v>128</v>
      </c>
      <c r="CL140" s="177" t="s">
        <v>128</v>
      </c>
      <c r="CM140" s="155" t="s">
        <v>109</v>
      </c>
      <c r="CN140" s="229">
        <v>0</v>
      </c>
      <c r="CO140" s="229">
        <v>1</v>
      </c>
      <c r="CP140" t="s">
        <v>155</v>
      </c>
      <c r="CR140" s="248"/>
    </row>
    <row r="141" spans="1:96" ht="14.4" x14ac:dyDescent="0.3">
      <c r="A141">
        <v>138</v>
      </c>
      <c r="B141" s="173" t="s">
        <v>1156</v>
      </c>
      <c r="C141" s="259"/>
      <c r="D141" s="260"/>
      <c r="E141" t="s">
        <v>329</v>
      </c>
      <c r="F141" t="s">
        <v>1157</v>
      </c>
      <c r="G141" s="177" t="s">
        <v>661</v>
      </c>
      <c r="H141" s="177" t="s">
        <v>958</v>
      </c>
      <c r="I141" s="177" t="s">
        <v>109</v>
      </c>
      <c r="J141" s="177" t="s">
        <v>109</v>
      </c>
      <c r="K141" s="177" t="s">
        <v>134</v>
      </c>
      <c r="L141" s="177" t="s">
        <v>1158</v>
      </c>
      <c r="M141" s="177" t="s">
        <v>109</v>
      </c>
      <c r="N141" s="177" t="s">
        <v>109</v>
      </c>
      <c r="O141" s="180" t="s">
        <v>1159</v>
      </c>
      <c r="P141" s="177" t="s">
        <v>109</v>
      </c>
      <c r="Q141" s="177" t="s">
        <v>109</v>
      </c>
      <c r="R141" s="177" t="s">
        <v>109</v>
      </c>
      <c r="S141" s="177" t="s">
        <v>109</v>
      </c>
      <c r="T141" s="177" t="s">
        <v>116</v>
      </c>
      <c r="U141" s="177" t="s">
        <v>117</v>
      </c>
      <c r="V141" s="177" t="b">
        <v>0</v>
      </c>
      <c r="W141" s="177" t="s">
        <v>109</v>
      </c>
      <c r="X141" s="261"/>
      <c r="Y141" s="177">
        <v>4.2124600000000001</v>
      </c>
      <c r="Z141" s="177" t="s">
        <v>118</v>
      </c>
      <c r="AA141" s="177">
        <v>69</v>
      </c>
      <c r="AB141" s="177" t="s">
        <v>109</v>
      </c>
      <c r="AC141" s="177">
        <v>3.1</v>
      </c>
      <c r="AD141" s="177" t="s">
        <v>1160</v>
      </c>
      <c r="AE141" s="177" t="s">
        <v>1161</v>
      </c>
      <c r="AF141" s="177">
        <v>1</v>
      </c>
      <c r="AG141" s="177">
        <v>15258</v>
      </c>
      <c r="AH141" s="177" t="s">
        <v>121</v>
      </c>
      <c r="AI141" s="177" t="b">
        <v>1</v>
      </c>
      <c r="AJ141" s="180">
        <v>45394</v>
      </c>
      <c r="AK141" s="177" t="s">
        <v>122</v>
      </c>
      <c r="AL141" s="177">
        <v>2017</v>
      </c>
      <c r="AM141" s="177" t="s">
        <v>109</v>
      </c>
      <c r="AN141" s="177" t="b">
        <v>0</v>
      </c>
      <c r="AO141" s="177" t="s">
        <v>109</v>
      </c>
      <c r="AP141" s="177" t="s">
        <v>109</v>
      </c>
      <c r="AQ141" s="177" t="s">
        <v>118</v>
      </c>
      <c r="AR141" s="177" t="b">
        <v>0</v>
      </c>
      <c r="AS141" s="177" t="s">
        <v>109</v>
      </c>
      <c r="AT141" s="180" t="s">
        <v>118</v>
      </c>
      <c r="AU141" s="177" t="s">
        <v>124</v>
      </c>
      <c r="AV141" s="177" t="s">
        <v>109</v>
      </c>
      <c r="AW141" s="177" t="s">
        <v>226</v>
      </c>
      <c r="AX141" s="177" t="s">
        <v>118</v>
      </c>
      <c r="AY141" s="177" t="s">
        <v>135</v>
      </c>
      <c r="AZ141" s="177" t="s">
        <v>109</v>
      </c>
      <c r="BA141" s="177" t="s">
        <v>109</v>
      </c>
      <c r="BB141" s="177" t="s">
        <v>109</v>
      </c>
      <c r="BC141" s="177" t="s">
        <v>126</v>
      </c>
      <c r="BD141" s="177" t="s">
        <v>109</v>
      </c>
      <c r="BE141" s="180" t="s">
        <v>1162</v>
      </c>
      <c r="BF141" s="180" t="s">
        <v>1163</v>
      </c>
      <c r="BG141" s="180" t="s">
        <v>1164</v>
      </c>
      <c r="BH141" s="177" t="s">
        <v>109</v>
      </c>
      <c r="BI141" s="177" t="s">
        <v>109</v>
      </c>
      <c r="BJ141" s="177" t="b">
        <v>0</v>
      </c>
      <c r="BK141" s="233">
        <v>8347.5826699999998</v>
      </c>
      <c r="BL141" s="234" t="s">
        <v>128</v>
      </c>
      <c r="BM141" s="233">
        <v>3922.3530599999999</v>
      </c>
      <c r="BN141" s="233">
        <v>66.334999999999994</v>
      </c>
      <c r="BO141" s="233">
        <v>1199.8273799999999</v>
      </c>
      <c r="BP141" s="233">
        <v>2232.3897000000002</v>
      </c>
      <c r="BQ141" s="233">
        <v>413.05543</v>
      </c>
      <c r="BR141" s="233">
        <v>5.7645299999999997</v>
      </c>
      <c r="BS141" s="233">
        <v>0</v>
      </c>
      <c r="BT141" s="233">
        <v>0</v>
      </c>
      <c r="BU141" s="233">
        <v>0</v>
      </c>
      <c r="BV141" s="233">
        <v>0</v>
      </c>
      <c r="BW141" s="233">
        <v>0</v>
      </c>
      <c r="BX141" s="233">
        <v>0</v>
      </c>
      <c r="BY141" s="234">
        <v>0</v>
      </c>
      <c r="BZ141" s="236" t="s">
        <v>109</v>
      </c>
      <c r="CA141" s="236" t="s">
        <v>109</v>
      </c>
      <c r="CB141" s="236" t="s">
        <v>270</v>
      </c>
      <c r="CC141" s="233">
        <v>0</v>
      </c>
      <c r="CD141" s="233">
        <v>0</v>
      </c>
      <c r="CE141" s="233">
        <v>3503.5331000000001</v>
      </c>
      <c r="CF141" s="233">
        <v>413.05543</v>
      </c>
      <c r="CG141" s="233">
        <v>5.7645299999999997</v>
      </c>
      <c r="CH141" s="233">
        <v>0</v>
      </c>
      <c r="CI141" s="233">
        <v>0</v>
      </c>
      <c r="CJ141" s="237">
        <v>0</v>
      </c>
      <c r="CK141" s="177" t="s">
        <v>128</v>
      </c>
      <c r="CL141" s="177" t="s">
        <v>128</v>
      </c>
      <c r="CM141" s="155" t="s">
        <v>109</v>
      </c>
      <c r="CN141" s="229">
        <v>0</v>
      </c>
      <c r="CO141" s="229">
        <v>1</v>
      </c>
      <c r="CP141" t="s">
        <v>155</v>
      </c>
      <c r="CR141" s="248"/>
    </row>
    <row r="142" spans="1:96" ht="14.4" x14ac:dyDescent="0.3">
      <c r="A142">
        <v>139</v>
      </c>
      <c r="B142" s="173" t="s">
        <v>1165</v>
      </c>
      <c r="C142" s="259"/>
      <c r="D142" s="260"/>
      <c r="E142" t="s">
        <v>109</v>
      </c>
      <c r="F142" t="s">
        <v>1166</v>
      </c>
      <c r="G142" s="177" t="s">
        <v>111</v>
      </c>
      <c r="H142" s="177" t="s">
        <v>113</v>
      </c>
      <c r="I142" s="177" t="s">
        <v>109</v>
      </c>
      <c r="J142" s="177" t="s">
        <v>109</v>
      </c>
      <c r="K142" s="177" t="s">
        <v>662</v>
      </c>
      <c r="L142" s="177" t="s">
        <v>1167</v>
      </c>
      <c r="M142" s="177" t="s">
        <v>194</v>
      </c>
      <c r="N142" s="177" t="s">
        <v>109</v>
      </c>
      <c r="O142" s="180" t="s">
        <v>109</v>
      </c>
      <c r="P142" s="177" t="s">
        <v>109</v>
      </c>
      <c r="Q142" s="177" t="s">
        <v>109</v>
      </c>
      <c r="R142" s="177" t="s">
        <v>109</v>
      </c>
      <c r="S142" s="177" t="s">
        <v>109</v>
      </c>
      <c r="T142" s="177" t="s">
        <v>285</v>
      </c>
      <c r="U142" s="177" t="s">
        <v>918</v>
      </c>
      <c r="V142" s="177" t="b">
        <v>0</v>
      </c>
      <c r="W142" s="177" t="s">
        <v>109</v>
      </c>
      <c r="X142" s="261"/>
      <c r="Y142" s="177" t="s">
        <v>109</v>
      </c>
      <c r="Z142" s="177" t="s">
        <v>109</v>
      </c>
      <c r="AA142" s="177" t="s">
        <v>119</v>
      </c>
      <c r="AB142" s="177" t="s">
        <v>990</v>
      </c>
      <c r="AC142" s="177">
        <v>1.2</v>
      </c>
      <c r="AD142" s="177" t="s">
        <v>119</v>
      </c>
      <c r="AE142" s="177" t="s">
        <v>1168</v>
      </c>
      <c r="AF142" s="177">
        <v>53</v>
      </c>
      <c r="AG142" s="177">
        <v>15259</v>
      </c>
      <c r="AH142" s="177" t="s">
        <v>121</v>
      </c>
      <c r="AI142" s="177" t="b">
        <v>1</v>
      </c>
      <c r="AJ142" s="180">
        <v>45637</v>
      </c>
      <c r="AK142" s="177" t="s">
        <v>122</v>
      </c>
      <c r="AL142" s="177" t="s">
        <v>109</v>
      </c>
      <c r="AM142" s="177" t="s">
        <v>109</v>
      </c>
      <c r="AN142" s="177" t="b">
        <v>0</v>
      </c>
      <c r="AO142" s="177" t="s">
        <v>109</v>
      </c>
      <c r="AP142" s="177" t="s">
        <v>109</v>
      </c>
      <c r="AQ142" s="177" t="s">
        <v>118</v>
      </c>
      <c r="AR142" s="177" t="b">
        <v>0</v>
      </c>
      <c r="AS142" s="177" t="s">
        <v>123</v>
      </c>
      <c r="AT142" s="180" t="s">
        <v>123</v>
      </c>
      <c r="AU142" s="177" t="s">
        <v>109</v>
      </c>
      <c r="AV142" s="177" t="s">
        <v>109</v>
      </c>
      <c r="AW142" s="177" t="s">
        <v>118</v>
      </c>
      <c r="AX142" s="177" t="s">
        <v>118</v>
      </c>
      <c r="AY142" s="177" t="s">
        <v>135</v>
      </c>
      <c r="AZ142" s="177" t="s">
        <v>109</v>
      </c>
      <c r="BA142" s="177" t="s">
        <v>218</v>
      </c>
      <c r="BB142" s="177" t="s">
        <v>109</v>
      </c>
      <c r="BC142" s="177" t="s">
        <v>126</v>
      </c>
      <c r="BD142" s="177" t="s">
        <v>109</v>
      </c>
      <c r="BE142" s="180" t="s">
        <v>109</v>
      </c>
      <c r="BF142" s="180" t="s">
        <v>127</v>
      </c>
      <c r="BG142" s="180" t="s">
        <v>119</v>
      </c>
      <c r="BH142" s="177" t="s">
        <v>109</v>
      </c>
      <c r="BI142" s="177" t="s">
        <v>109</v>
      </c>
      <c r="BJ142" s="177" t="b">
        <v>1</v>
      </c>
      <c r="BK142" s="233" t="s">
        <v>118</v>
      </c>
      <c r="BL142" s="234" t="s">
        <v>128</v>
      </c>
      <c r="BM142" s="233">
        <f>40655.3872009827-SUM(BM143:BM151,BM365)</f>
        <v>6914.1379108215478</v>
      </c>
      <c r="BN142" s="235">
        <f>6137.8840287-SUM(BN143:BN151,BN365)</f>
        <v>1152.5228813000003</v>
      </c>
      <c r="BO142" s="235">
        <f>7986.5199892-SUM(BO143:BO151,BO365)</f>
        <v>751.8258265000004</v>
      </c>
      <c r="BP142" s="235">
        <f>7547.901392-SUM(BP143:BP151,BP365)</f>
        <v>1596.8845141000002</v>
      </c>
      <c r="BQ142" s="235">
        <f>5708.4222365-SUM(BQ143:BQ151,BQ365)</f>
        <v>1010.3758762999996</v>
      </c>
      <c r="BR142" s="235">
        <f>2736.944468-SUM(BR143:BR151,BR365)</f>
        <v>1390.2288260000003</v>
      </c>
      <c r="BS142" s="235">
        <f>206.60271-SUM(BS143:BS151,BS365)</f>
        <v>150.81923</v>
      </c>
      <c r="BT142" s="235">
        <f>197.0578664-SUM(BT143:BT151,BT365)</f>
        <v>196.9928256</v>
      </c>
      <c r="BU142" s="235">
        <f>0-SUM(BU143:BU151,BU365)</f>
        <v>0</v>
      </c>
      <c r="BV142" s="235">
        <f>0-SUM(BV143:BV151,BV365)</f>
        <v>0</v>
      </c>
      <c r="BW142" s="235">
        <f>0-SUM(BW143:BW151,BW365)</f>
        <v>0</v>
      </c>
      <c r="BX142" s="235">
        <f>0-SUM(BX143:BX151,BX365)</f>
        <v>0</v>
      </c>
      <c r="BY142" s="234">
        <v>6433.4195299999992</v>
      </c>
      <c r="BZ142" s="236" t="s">
        <v>109</v>
      </c>
      <c r="CA142" s="236" t="s">
        <v>109</v>
      </c>
      <c r="CB142" s="236" t="s">
        <v>129</v>
      </c>
      <c r="CC142" s="235">
        <f>89.7673165-SUM(CC143:CC151,CC365)</f>
        <v>89.767316500000007</v>
      </c>
      <c r="CD142" s="235">
        <f>4375.2335547-SUM(CD143:CD151,CD365)</f>
        <v>537.66310449999992</v>
      </c>
      <c r="CE142" s="235">
        <f>6252.0235968-SUM(CE143:CE151,CE365)</f>
        <v>849.89232460000039</v>
      </c>
      <c r="CF142" s="235">
        <f>21738.6396339-SUM(CF143:CF151,CF365)</f>
        <v>1305.7860556999985</v>
      </c>
      <c r="CG142" s="235">
        <f>5130.9542613-SUM(CG143:CG151,CG365)</f>
        <v>1118.1087926000009</v>
      </c>
      <c r="CH142" s="235">
        <f>815.312744-SUM(CH143:CH151,CH365)</f>
        <v>759.52926400000001</v>
      </c>
      <c r="CI142" s="235">
        <f>1781.9807746-SUM(CI143:CI151,CI365)</f>
        <v>1781.9157338</v>
      </c>
      <c r="CJ142" s="237">
        <v>0</v>
      </c>
      <c r="CK142" s="177" t="s">
        <v>128</v>
      </c>
      <c r="CL142" s="177">
        <v>5.4</v>
      </c>
      <c r="CM142" s="155" t="s">
        <v>109</v>
      </c>
      <c r="CN142" s="229">
        <v>0</v>
      </c>
      <c r="CO142" s="229">
        <v>1</v>
      </c>
      <c r="CP142" t="s">
        <v>480</v>
      </c>
      <c r="CR142" s="248"/>
    </row>
    <row r="143" spans="1:96" ht="72" x14ac:dyDescent="0.3">
      <c r="A143">
        <v>140</v>
      </c>
      <c r="B143" s="173" t="s">
        <v>1169</v>
      </c>
      <c r="C143" s="259"/>
      <c r="D143" s="260"/>
      <c r="E143" t="s">
        <v>329</v>
      </c>
      <c r="F143" t="s">
        <v>1170</v>
      </c>
      <c r="G143" s="177" t="s">
        <v>111</v>
      </c>
      <c r="H143" s="177" t="s">
        <v>113</v>
      </c>
      <c r="I143" s="177" t="s">
        <v>109</v>
      </c>
      <c r="J143" s="177" t="s">
        <v>109</v>
      </c>
      <c r="K143" s="177" t="s">
        <v>662</v>
      </c>
      <c r="L143" s="177" t="s">
        <v>839</v>
      </c>
      <c r="M143" s="177" t="s">
        <v>109</v>
      </c>
      <c r="N143" s="177" t="s">
        <v>109</v>
      </c>
      <c r="O143" s="180">
        <v>45783</v>
      </c>
      <c r="P143" s="177" t="s">
        <v>109</v>
      </c>
      <c r="Q143" s="177" t="s">
        <v>109</v>
      </c>
      <c r="R143" s="177" t="s">
        <v>109</v>
      </c>
      <c r="S143" s="177" t="s">
        <v>109</v>
      </c>
      <c r="T143" s="177" t="s">
        <v>285</v>
      </c>
      <c r="U143" s="177" t="s">
        <v>918</v>
      </c>
      <c r="V143" s="177" t="b">
        <v>0</v>
      </c>
      <c r="W143" s="177" t="s">
        <v>109</v>
      </c>
      <c r="X143" s="261"/>
      <c r="Y143" s="177" t="s">
        <v>109</v>
      </c>
      <c r="Z143" s="176">
        <v>0.94</v>
      </c>
      <c r="AA143" s="177">
        <v>69</v>
      </c>
      <c r="AB143" s="177" t="s">
        <v>434</v>
      </c>
      <c r="AC143" s="177">
        <v>1.2</v>
      </c>
      <c r="AD143" s="177" t="s">
        <v>1171</v>
      </c>
      <c r="AE143" s="177" t="s">
        <v>1168</v>
      </c>
      <c r="AF143" s="177">
        <v>1</v>
      </c>
      <c r="AG143" s="177">
        <v>15259</v>
      </c>
      <c r="AH143" s="177" t="s">
        <v>121</v>
      </c>
      <c r="AI143" s="177" t="b">
        <v>1</v>
      </c>
      <c r="AJ143" s="180">
        <v>44245</v>
      </c>
      <c r="AK143" s="177" t="s">
        <v>122</v>
      </c>
      <c r="AL143" s="177" t="s">
        <v>109</v>
      </c>
      <c r="AM143" s="177" t="s">
        <v>109</v>
      </c>
      <c r="AN143" s="177" t="b">
        <v>0</v>
      </c>
      <c r="AO143" s="177" t="s">
        <v>109</v>
      </c>
      <c r="AP143" s="177" t="s">
        <v>109</v>
      </c>
      <c r="AQ143" s="177" t="s">
        <v>109</v>
      </c>
      <c r="AR143" s="177" t="b">
        <v>0</v>
      </c>
      <c r="AS143" s="177" t="s">
        <v>123</v>
      </c>
      <c r="AT143" s="180" t="s">
        <v>123</v>
      </c>
      <c r="AU143" s="177" t="s">
        <v>109</v>
      </c>
      <c r="AV143" s="177" t="s">
        <v>109</v>
      </c>
      <c r="AW143" s="177" t="s">
        <v>118</v>
      </c>
      <c r="AX143" s="177" t="s">
        <v>118</v>
      </c>
      <c r="AY143" s="177" t="s">
        <v>135</v>
      </c>
      <c r="AZ143" s="177" t="s">
        <v>109</v>
      </c>
      <c r="BA143" s="177" t="s">
        <v>218</v>
      </c>
      <c r="BB143" s="177" t="s">
        <v>109</v>
      </c>
      <c r="BC143" s="177" t="s">
        <v>126</v>
      </c>
      <c r="BD143" s="177" t="s">
        <v>109</v>
      </c>
      <c r="BE143" s="180" t="s">
        <v>1172</v>
      </c>
      <c r="BF143" s="180" t="s">
        <v>137</v>
      </c>
      <c r="BG143" s="180" t="s">
        <v>1173</v>
      </c>
      <c r="BH143" s="177" t="s">
        <v>521</v>
      </c>
      <c r="BI143" s="177" t="s">
        <v>109</v>
      </c>
      <c r="BJ143" s="177" t="b">
        <v>1</v>
      </c>
      <c r="BK143" s="233">
        <v>1682.9943599999999</v>
      </c>
      <c r="BL143" s="234" t="s">
        <v>128</v>
      </c>
      <c r="BM143" s="233">
        <v>1307.268923025</v>
      </c>
      <c r="BN143" s="233">
        <v>0</v>
      </c>
      <c r="BO143" s="233">
        <v>98.527420000000006</v>
      </c>
      <c r="BP143" s="233">
        <v>618.98824869999999</v>
      </c>
      <c r="BQ143" s="233">
        <v>539.56626840000001</v>
      </c>
      <c r="BR143" s="233">
        <v>48.192596000000002</v>
      </c>
      <c r="BS143" s="233">
        <v>1.9943900000000001</v>
      </c>
      <c r="BT143" s="233">
        <v>0</v>
      </c>
      <c r="BU143" s="233">
        <v>0</v>
      </c>
      <c r="BV143" s="233">
        <v>0</v>
      </c>
      <c r="BW143" s="233">
        <v>0</v>
      </c>
      <c r="BX143" s="233">
        <v>0</v>
      </c>
      <c r="BY143" s="234">
        <v>0</v>
      </c>
      <c r="BZ143" s="236" t="s">
        <v>109</v>
      </c>
      <c r="CA143" s="236" t="s">
        <v>109</v>
      </c>
      <c r="CB143" s="236" t="s">
        <v>196</v>
      </c>
      <c r="CC143" s="233">
        <v>0</v>
      </c>
      <c r="CD143" s="233">
        <v>0</v>
      </c>
      <c r="CE143" s="233">
        <v>0</v>
      </c>
      <c r="CF143" s="233">
        <v>0</v>
      </c>
      <c r="CG143" s="233">
        <v>1305.274533</v>
      </c>
      <c r="CH143" s="233">
        <v>1.9943900000000001</v>
      </c>
      <c r="CI143" s="233">
        <v>0</v>
      </c>
      <c r="CJ143" s="237">
        <v>0</v>
      </c>
      <c r="CK143" s="177" t="s">
        <v>128</v>
      </c>
      <c r="CL143" s="177" t="s">
        <v>128</v>
      </c>
      <c r="CM143" s="155" t="s">
        <v>109</v>
      </c>
      <c r="CN143" s="229">
        <v>0</v>
      </c>
      <c r="CO143" s="229">
        <v>1</v>
      </c>
      <c r="CP143" s="138" t="s">
        <v>1174</v>
      </c>
      <c r="CR143" s="248"/>
    </row>
    <row r="144" spans="1:96" ht="14.4" x14ac:dyDescent="0.3">
      <c r="A144">
        <v>141</v>
      </c>
      <c r="B144" s="173" t="s">
        <v>1175</v>
      </c>
      <c r="C144" s="259"/>
      <c r="D144" s="260"/>
      <c r="E144" t="s">
        <v>191</v>
      </c>
      <c r="F144" t="s">
        <v>1176</v>
      </c>
      <c r="G144" s="177" t="s">
        <v>111</v>
      </c>
      <c r="H144" s="177" t="s">
        <v>113</v>
      </c>
      <c r="I144" s="177" t="s">
        <v>109</v>
      </c>
      <c r="J144" s="177" t="s">
        <v>109</v>
      </c>
      <c r="K144" s="177" t="s">
        <v>662</v>
      </c>
      <c r="L144" s="177" t="s">
        <v>839</v>
      </c>
      <c r="M144" s="177" t="s">
        <v>109</v>
      </c>
      <c r="N144" s="177" t="s">
        <v>109</v>
      </c>
      <c r="O144" s="180">
        <v>45762</v>
      </c>
      <c r="P144" s="177" t="s">
        <v>109</v>
      </c>
      <c r="Q144" s="177" t="s">
        <v>109</v>
      </c>
      <c r="R144" s="177" t="s">
        <v>109</v>
      </c>
      <c r="S144" s="177" t="s">
        <v>109</v>
      </c>
      <c r="T144" s="177" t="s">
        <v>310</v>
      </c>
      <c r="U144" s="177" t="s">
        <v>918</v>
      </c>
      <c r="V144" s="177" t="b">
        <v>0</v>
      </c>
      <c r="W144" s="177" t="s">
        <v>109</v>
      </c>
      <c r="X144" s="261"/>
      <c r="Y144" s="177" t="s">
        <v>109</v>
      </c>
      <c r="Z144" s="176">
        <v>0.84</v>
      </c>
      <c r="AA144" s="177">
        <v>69</v>
      </c>
      <c r="AB144" s="177" t="s">
        <v>434</v>
      </c>
      <c r="AC144" s="177">
        <v>1.2</v>
      </c>
      <c r="AD144" s="177" t="s">
        <v>1177</v>
      </c>
      <c r="AE144" s="177" t="s">
        <v>1168</v>
      </c>
      <c r="AF144" s="177">
        <v>1</v>
      </c>
      <c r="AG144" s="177">
        <v>15259</v>
      </c>
      <c r="AH144" s="177" t="s">
        <v>121</v>
      </c>
      <c r="AI144" s="177" t="b">
        <v>1</v>
      </c>
      <c r="AJ144" s="180">
        <v>44243</v>
      </c>
      <c r="AK144" s="177" t="s">
        <v>122</v>
      </c>
      <c r="AL144" s="177" t="s">
        <v>109</v>
      </c>
      <c r="AM144" s="177" t="s">
        <v>109</v>
      </c>
      <c r="AN144" s="177" t="b">
        <v>0</v>
      </c>
      <c r="AO144" s="177" t="s">
        <v>109</v>
      </c>
      <c r="AP144" s="177" t="s">
        <v>109</v>
      </c>
      <c r="AQ144" s="177" t="s">
        <v>109</v>
      </c>
      <c r="AR144" s="177" t="b">
        <v>0</v>
      </c>
      <c r="AS144" s="177" t="s">
        <v>123</v>
      </c>
      <c r="AT144" s="180" t="s">
        <v>123</v>
      </c>
      <c r="AU144" s="177" t="s">
        <v>109</v>
      </c>
      <c r="AV144" s="177" t="s">
        <v>109</v>
      </c>
      <c r="AW144" s="177" t="s">
        <v>118</v>
      </c>
      <c r="AX144" s="177" t="s">
        <v>118</v>
      </c>
      <c r="AY144" s="177" t="s">
        <v>135</v>
      </c>
      <c r="AZ144" s="177" t="s">
        <v>109</v>
      </c>
      <c r="BA144" s="177" t="s">
        <v>218</v>
      </c>
      <c r="BB144" s="177" t="s">
        <v>109</v>
      </c>
      <c r="BC144" s="177" t="s">
        <v>150</v>
      </c>
      <c r="BD144" s="177" t="s">
        <v>109</v>
      </c>
      <c r="BE144" s="180" t="s">
        <v>1178</v>
      </c>
      <c r="BF144" s="180" t="s">
        <v>137</v>
      </c>
      <c r="BG144" s="180" t="s">
        <v>1179</v>
      </c>
      <c r="BH144" s="177" t="s">
        <v>1180</v>
      </c>
      <c r="BI144" s="177" t="s">
        <v>109</v>
      </c>
      <c r="BJ144" s="177" t="b">
        <v>1</v>
      </c>
      <c r="BK144" s="233">
        <v>437.88914999999997</v>
      </c>
      <c r="BL144" s="234" t="s">
        <v>128</v>
      </c>
      <c r="BM144" s="233">
        <v>1284.56369</v>
      </c>
      <c r="BN144" s="233">
        <v>0</v>
      </c>
      <c r="BO144" s="233">
        <v>0</v>
      </c>
      <c r="BP144" s="233">
        <v>3.8588100000000001</v>
      </c>
      <c r="BQ144" s="233">
        <v>762.79304999999999</v>
      </c>
      <c r="BR144" s="233">
        <v>497.10653000000002</v>
      </c>
      <c r="BS144" s="233">
        <v>20.805299999999999</v>
      </c>
      <c r="BT144" s="233">
        <v>0</v>
      </c>
      <c r="BU144" s="233">
        <v>0</v>
      </c>
      <c r="BV144" s="233">
        <v>0</v>
      </c>
      <c r="BW144" s="233">
        <v>0</v>
      </c>
      <c r="BX144" s="233">
        <v>0</v>
      </c>
      <c r="BY144" s="234">
        <v>0</v>
      </c>
      <c r="BZ144" s="236" t="s">
        <v>109</v>
      </c>
      <c r="CA144" s="236" t="s">
        <v>109</v>
      </c>
      <c r="CB144" s="236" t="s">
        <v>196</v>
      </c>
      <c r="CC144" s="233">
        <v>0</v>
      </c>
      <c r="CD144" s="233">
        <v>0</v>
      </c>
      <c r="CE144" s="233">
        <v>0</v>
      </c>
      <c r="CF144" s="233">
        <v>0</v>
      </c>
      <c r="CG144" s="233">
        <v>1263.75839</v>
      </c>
      <c r="CH144" s="233">
        <v>20.805299999999999</v>
      </c>
      <c r="CI144" s="233">
        <v>0</v>
      </c>
      <c r="CJ144" s="237">
        <v>0</v>
      </c>
      <c r="CK144" s="177" t="s">
        <v>128</v>
      </c>
      <c r="CL144" s="177" t="s">
        <v>128</v>
      </c>
      <c r="CM144" s="155" t="s">
        <v>109</v>
      </c>
      <c r="CN144" s="229">
        <v>0</v>
      </c>
      <c r="CO144" s="229">
        <v>1</v>
      </c>
      <c r="CP144" t="s">
        <v>480</v>
      </c>
      <c r="CR144" s="248"/>
    </row>
    <row r="145" spans="1:96" ht="72" x14ac:dyDescent="0.3">
      <c r="A145">
        <v>142</v>
      </c>
      <c r="B145" s="173" t="s">
        <v>1181</v>
      </c>
      <c r="C145" s="259"/>
      <c r="D145" s="260"/>
      <c r="E145" t="s">
        <v>191</v>
      </c>
      <c r="F145" t="s">
        <v>1182</v>
      </c>
      <c r="G145" s="177" t="s">
        <v>166</v>
      </c>
      <c r="H145" s="177" t="s">
        <v>113</v>
      </c>
      <c r="I145" s="177" t="s">
        <v>109</v>
      </c>
      <c r="J145" s="177" t="s">
        <v>109</v>
      </c>
      <c r="K145" s="177" t="s">
        <v>662</v>
      </c>
      <c r="L145" s="177" t="s">
        <v>1183</v>
      </c>
      <c r="M145" s="177" t="s">
        <v>109</v>
      </c>
      <c r="N145" s="177" t="s">
        <v>109</v>
      </c>
      <c r="O145" s="180">
        <v>45735</v>
      </c>
      <c r="P145" s="177" t="s">
        <v>109</v>
      </c>
      <c r="Q145" s="177" t="s">
        <v>109</v>
      </c>
      <c r="R145" s="177" t="s">
        <v>109</v>
      </c>
      <c r="S145" s="177" t="s">
        <v>109</v>
      </c>
      <c r="T145" s="177" t="s">
        <v>310</v>
      </c>
      <c r="U145" s="177" t="s">
        <v>918</v>
      </c>
      <c r="V145" s="177" t="b">
        <v>0</v>
      </c>
      <c r="W145" s="177" t="s">
        <v>109</v>
      </c>
      <c r="X145" s="261"/>
      <c r="Y145" s="177" t="s">
        <v>109</v>
      </c>
      <c r="Z145" s="177" t="s">
        <v>109</v>
      </c>
      <c r="AA145" s="177">
        <v>69</v>
      </c>
      <c r="AB145" s="177" t="s">
        <v>434</v>
      </c>
      <c r="AC145" s="177">
        <v>1.2</v>
      </c>
      <c r="AD145" s="177" t="s">
        <v>1184</v>
      </c>
      <c r="AE145" s="177" t="s">
        <v>1168</v>
      </c>
      <c r="AF145" s="177">
        <v>1</v>
      </c>
      <c r="AG145" s="177">
        <v>15259</v>
      </c>
      <c r="AH145" s="177" t="s">
        <v>121</v>
      </c>
      <c r="AI145" s="177" t="b">
        <v>1</v>
      </c>
      <c r="AJ145" s="180">
        <v>43173</v>
      </c>
      <c r="AK145" s="177" t="s">
        <v>122</v>
      </c>
      <c r="AL145" s="177" t="s">
        <v>109</v>
      </c>
      <c r="AM145" s="177" t="s">
        <v>109</v>
      </c>
      <c r="AN145" s="177" t="b">
        <v>0</v>
      </c>
      <c r="AO145" s="177" t="s">
        <v>109</v>
      </c>
      <c r="AP145" s="177" t="s">
        <v>109</v>
      </c>
      <c r="AQ145" s="177" t="s">
        <v>109</v>
      </c>
      <c r="AR145" s="177" t="b">
        <v>0</v>
      </c>
      <c r="AS145" s="177" t="s">
        <v>123</v>
      </c>
      <c r="AT145" s="180" t="s">
        <v>123</v>
      </c>
      <c r="AU145" s="177" t="s">
        <v>109</v>
      </c>
      <c r="AV145" s="177" t="s">
        <v>109</v>
      </c>
      <c r="AW145" s="177" t="s">
        <v>118</v>
      </c>
      <c r="AX145" s="177" t="s">
        <v>118</v>
      </c>
      <c r="AY145" s="177" t="s">
        <v>135</v>
      </c>
      <c r="AZ145" s="177" t="s">
        <v>109</v>
      </c>
      <c r="BA145" s="177" t="s">
        <v>218</v>
      </c>
      <c r="BB145" s="177" t="s">
        <v>109</v>
      </c>
      <c r="BC145" s="177" t="s">
        <v>126</v>
      </c>
      <c r="BD145" s="177" t="s">
        <v>109</v>
      </c>
      <c r="BE145" s="180" t="s">
        <v>1185</v>
      </c>
      <c r="BF145" s="180" t="s">
        <v>314</v>
      </c>
      <c r="BG145" s="180" t="s">
        <v>787</v>
      </c>
      <c r="BH145" s="177" t="s">
        <v>833</v>
      </c>
      <c r="BI145" s="177" t="s">
        <v>109</v>
      </c>
      <c r="BJ145" s="177" t="b">
        <v>0</v>
      </c>
      <c r="BK145" s="233">
        <v>2429</v>
      </c>
      <c r="BL145" s="234" t="s">
        <v>128</v>
      </c>
      <c r="BM145" s="233">
        <v>3433.3480208400001</v>
      </c>
      <c r="BN145" s="233">
        <v>833.72414289999995</v>
      </c>
      <c r="BO145" s="233">
        <v>2084.9861704999998</v>
      </c>
      <c r="BP145" s="233">
        <v>10.208830000000001</v>
      </c>
      <c r="BQ145" s="233">
        <v>0</v>
      </c>
      <c r="BR145" s="233">
        <v>0</v>
      </c>
      <c r="BS145" s="233">
        <v>0</v>
      </c>
      <c r="BT145" s="233">
        <v>0</v>
      </c>
      <c r="BU145" s="233">
        <v>0</v>
      </c>
      <c r="BV145" s="233">
        <v>0</v>
      </c>
      <c r="BW145" s="233">
        <v>0</v>
      </c>
      <c r="BX145" s="233">
        <v>0</v>
      </c>
      <c r="BY145" s="234">
        <v>0</v>
      </c>
      <c r="BZ145" s="236" t="s">
        <v>109</v>
      </c>
      <c r="CA145" s="236" t="s">
        <v>109</v>
      </c>
      <c r="CB145" s="236" t="s">
        <v>336</v>
      </c>
      <c r="CC145" s="233">
        <v>0</v>
      </c>
      <c r="CD145" s="233">
        <v>3423.1391908000001</v>
      </c>
      <c r="CE145" s="233">
        <v>10.208830000000001</v>
      </c>
      <c r="CF145" s="233">
        <v>0</v>
      </c>
      <c r="CG145" s="233">
        <v>0</v>
      </c>
      <c r="CH145" s="233">
        <v>0</v>
      </c>
      <c r="CI145" s="233">
        <v>0</v>
      </c>
      <c r="CJ145" s="237">
        <v>0</v>
      </c>
      <c r="CK145" s="177" t="s">
        <v>128</v>
      </c>
      <c r="CL145" s="177" t="s">
        <v>128</v>
      </c>
      <c r="CM145" s="155" t="s">
        <v>109</v>
      </c>
      <c r="CN145" s="229">
        <v>0</v>
      </c>
      <c r="CO145" s="229">
        <v>1</v>
      </c>
      <c r="CP145" s="138" t="s">
        <v>1186</v>
      </c>
      <c r="CR145" s="248"/>
    </row>
    <row r="146" spans="1:96" ht="14.4" x14ac:dyDescent="0.3">
      <c r="A146">
        <v>143</v>
      </c>
      <c r="B146" s="173" t="s">
        <v>1187</v>
      </c>
      <c r="C146" s="259"/>
      <c r="D146" s="260"/>
      <c r="E146" t="s">
        <v>191</v>
      </c>
      <c r="F146" t="s">
        <v>1188</v>
      </c>
      <c r="G146" s="177" t="s">
        <v>111</v>
      </c>
      <c r="H146" s="177" t="s">
        <v>113</v>
      </c>
      <c r="I146" s="177" t="s">
        <v>109</v>
      </c>
      <c r="J146" s="177" t="s">
        <v>109</v>
      </c>
      <c r="K146" s="177" t="s">
        <v>662</v>
      </c>
      <c r="L146" s="177" t="s">
        <v>1183</v>
      </c>
      <c r="M146" s="177" t="s">
        <v>109</v>
      </c>
      <c r="N146" s="177" t="s">
        <v>109</v>
      </c>
      <c r="O146" s="180">
        <v>45770</v>
      </c>
      <c r="P146" s="177" t="s">
        <v>1189</v>
      </c>
      <c r="Q146" s="177" t="s">
        <v>109</v>
      </c>
      <c r="R146" s="177" t="s">
        <v>109</v>
      </c>
      <c r="S146" s="177" t="s">
        <v>109</v>
      </c>
      <c r="T146" s="177" t="s">
        <v>310</v>
      </c>
      <c r="U146" s="177" t="s">
        <v>918</v>
      </c>
      <c r="V146" s="177" t="b">
        <v>0</v>
      </c>
      <c r="W146" s="177" t="s">
        <v>109</v>
      </c>
      <c r="X146" s="261"/>
      <c r="Y146" s="177" t="s">
        <v>109</v>
      </c>
      <c r="Z146" s="177" t="s">
        <v>109</v>
      </c>
      <c r="AA146" s="177">
        <v>69</v>
      </c>
      <c r="AB146" s="177" t="s">
        <v>434</v>
      </c>
      <c r="AC146" s="177">
        <v>1.2</v>
      </c>
      <c r="AD146" s="177" t="s">
        <v>1190</v>
      </c>
      <c r="AE146" s="177" t="s">
        <v>1168</v>
      </c>
      <c r="AF146" s="177">
        <v>1</v>
      </c>
      <c r="AG146" s="177">
        <v>15259</v>
      </c>
      <c r="AH146" s="177" t="s">
        <v>121</v>
      </c>
      <c r="AI146" s="177" t="b">
        <v>1</v>
      </c>
      <c r="AJ146" s="180" t="s">
        <v>1191</v>
      </c>
      <c r="AK146" s="177" t="s">
        <v>122</v>
      </c>
      <c r="AL146" s="177" t="s">
        <v>109</v>
      </c>
      <c r="AM146" s="177" t="s">
        <v>109</v>
      </c>
      <c r="AN146" s="177" t="b">
        <v>0</v>
      </c>
      <c r="AO146" s="177" t="s">
        <v>109</v>
      </c>
      <c r="AP146" s="177" t="s">
        <v>109</v>
      </c>
      <c r="AQ146" s="177" t="s">
        <v>109</v>
      </c>
      <c r="AR146" s="177" t="b">
        <v>0</v>
      </c>
      <c r="AS146" s="177" t="s">
        <v>123</v>
      </c>
      <c r="AT146" s="180" t="s">
        <v>123</v>
      </c>
      <c r="AU146" s="177" t="s">
        <v>109</v>
      </c>
      <c r="AV146" s="177" t="s">
        <v>109</v>
      </c>
      <c r="AW146" s="177" t="s">
        <v>118</v>
      </c>
      <c r="AX146" s="177" t="s">
        <v>118</v>
      </c>
      <c r="AY146" s="177" t="s">
        <v>135</v>
      </c>
      <c r="AZ146" s="177" t="s">
        <v>109</v>
      </c>
      <c r="BA146" s="177" t="s">
        <v>218</v>
      </c>
      <c r="BB146" s="177" t="s">
        <v>109</v>
      </c>
      <c r="BC146" s="177" t="s">
        <v>126</v>
      </c>
      <c r="BD146" s="177" t="s">
        <v>109</v>
      </c>
      <c r="BE146" s="180" t="s">
        <v>1192</v>
      </c>
      <c r="BF146" s="180" t="s">
        <v>1193</v>
      </c>
      <c r="BG146" s="180" t="s">
        <v>1194</v>
      </c>
      <c r="BH146" s="177" t="s">
        <v>833</v>
      </c>
      <c r="BI146" s="177" t="s">
        <v>109</v>
      </c>
      <c r="BJ146" s="177" t="b">
        <v>0</v>
      </c>
      <c r="BK146" s="233">
        <v>9392.7360000000008</v>
      </c>
      <c r="BL146" s="234" t="s">
        <v>128</v>
      </c>
      <c r="BM146" s="233">
        <v>10304.274148204</v>
      </c>
      <c r="BN146" s="233">
        <v>3353.2362576</v>
      </c>
      <c r="BO146" s="233">
        <v>3052.3056793000001</v>
      </c>
      <c r="BP146" s="233">
        <v>1859.5361492</v>
      </c>
      <c r="BQ146" s="233">
        <v>840.39814209999997</v>
      </c>
      <c r="BR146" s="233">
        <v>16.529959999999999</v>
      </c>
      <c r="BS146" s="233">
        <v>0</v>
      </c>
      <c r="BT146" s="233">
        <v>0</v>
      </c>
      <c r="BU146" s="233">
        <v>0</v>
      </c>
      <c r="BV146" s="233">
        <v>0</v>
      </c>
      <c r="BW146" s="233">
        <v>0</v>
      </c>
      <c r="BX146" s="233">
        <v>0</v>
      </c>
      <c r="BY146" s="234">
        <v>0</v>
      </c>
      <c r="BZ146" s="236" t="s">
        <v>109</v>
      </c>
      <c r="CA146" s="236" t="s">
        <v>109</v>
      </c>
      <c r="CB146" s="236" t="s">
        <v>174</v>
      </c>
      <c r="CC146" s="233">
        <v>0</v>
      </c>
      <c r="CD146" s="233">
        <v>0</v>
      </c>
      <c r="CE146" s="233">
        <v>0</v>
      </c>
      <c r="CF146" s="233">
        <v>10287.7441882</v>
      </c>
      <c r="CG146" s="233">
        <v>16.529959999999999</v>
      </c>
      <c r="CH146" s="233">
        <v>0</v>
      </c>
      <c r="CI146" s="233">
        <v>0</v>
      </c>
      <c r="CJ146" s="237">
        <v>0</v>
      </c>
      <c r="CK146" s="177" t="s">
        <v>128</v>
      </c>
      <c r="CL146" s="177" t="s">
        <v>128</v>
      </c>
      <c r="CM146" s="155" t="s">
        <v>109</v>
      </c>
      <c r="CN146" s="229">
        <v>0</v>
      </c>
      <c r="CO146" s="229">
        <v>1</v>
      </c>
      <c r="CP146" t="s">
        <v>480</v>
      </c>
      <c r="CR146" s="248"/>
    </row>
    <row r="147" spans="1:96" ht="14.4" x14ac:dyDescent="0.3">
      <c r="A147">
        <v>144</v>
      </c>
      <c r="B147" s="173" t="s">
        <v>1195</v>
      </c>
      <c r="C147" s="259"/>
      <c r="D147" s="260"/>
      <c r="E147" t="s">
        <v>191</v>
      </c>
      <c r="F147" t="s">
        <v>1196</v>
      </c>
      <c r="G147" s="177" t="s">
        <v>111</v>
      </c>
      <c r="H147" s="177" t="s">
        <v>113</v>
      </c>
      <c r="I147" s="177" t="s">
        <v>109</v>
      </c>
      <c r="J147" s="177" t="s">
        <v>109</v>
      </c>
      <c r="K147" s="177" t="s">
        <v>662</v>
      </c>
      <c r="L147" s="177" t="s">
        <v>1197</v>
      </c>
      <c r="M147" s="177" t="s">
        <v>109</v>
      </c>
      <c r="N147" s="177" t="s">
        <v>109</v>
      </c>
      <c r="O147" s="180">
        <v>45736</v>
      </c>
      <c r="P147" s="177" t="s">
        <v>1198</v>
      </c>
      <c r="Q147" s="177" t="s">
        <v>109</v>
      </c>
      <c r="R147" s="177" t="s">
        <v>109</v>
      </c>
      <c r="S147" s="177" t="s">
        <v>109</v>
      </c>
      <c r="T147" s="177" t="s">
        <v>310</v>
      </c>
      <c r="U147" s="177" t="s">
        <v>918</v>
      </c>
      <c r="V147" s="177" t="b">
        <v>0</v>
      </c>
      <c r="W147" s="177" t="s">
        <v>109</v>
      </c>
      <c r="X147" s="261"/>
      <c r="Y147" s="177" t="s">
        <v>109</v>
      </c>
      <c r="Z147" s="176">
        <v>0.34</v>
      </c>
      <c r="AA147" s="177">
        <v>69</v>
      </c>
      <c r="AB147" s="177" t="s">
        <v>434</v>
      </c>
      <c r="AC147" s="177">
        <v>1.2</v>
      </c>
      <c r="AD147" s="177" t="s">
        <v>1199</v>
      </c>
      <c r="AE147" s="177" t="s">
        <v>1168</v>
      </c>
      <c r="AF147" s="177">
        <v>1</v>
      </c>
      <c r="AG147" s="177">
        <v>15259</v>
      </c>
      <c r="AH147" s="177" t="s">
        <v>121</v>
      </c>
      <c r="AI147" s="177" t="b">
        <v>1</v>
      </c>
      <c r="AJ147" s="180">
        <v>43817</v>
      </c>
      <c r="AK147" s="177" t="s">
        <v>122</v>
      </c>
      <c r="AL147" s="177" t="s">
        <v>109</v>
      </c>
      <c r="AM147" s="177" t="s">
        <v>109</v>
      </c>
      <c r="AN147" s="177" t="b">
        <v>0</v>
      </c>
      <c r="AO147" s="177" t="s">
        <v>109</v>
      </c>
      <c r="AP147" s="177" t="s">
        <v>109</v>
      </c>
      <c r="AQ147" s="177" t="s">
        <v>109</v>
      </c>
      <c r="AR147" s="177" t="b">
        <v>0</v>
      </c>
      <c r="AS147" s="177" t="s">
        <v>123</v>
      </c>
      <c r="AT147" s="180" t="s">
        <v>123</v>
      </c>
      <c r="AU147" s="177" t="s">
        <v>109</v>
      </c>
      <c r="AV147" s="177" t="s">
        <v>109</v>
      </c>
      <c r="AW147" s="177" t="s">
        <v>118</v>
      </c>
      <c r="AX147" s="177" t="s">
        <v>118</v>
      </c>
      <c r="AY147" s="177" t="s">
        <v>135</v>
      </c>
      <c r="AZ147" s="177" t="s">
        <v>109</v>
      </c>
      <c r="BA147" s="177" t="s">
        <v>218</v>
      </c>
      <c r="BB147" s="177" t="s">
        <v>109</v>
      </c>
      <c r="BC147" s="177" t="s">
        <v>126</v>
      </c>
      <c r="BD147" s="177" t="s">
        <v>109</v>
      </c>
      <c r="BE147" s="180" t="s">
        <v>1200</v>
      </c>
      <c r="BF147" s="180" t="s">
        <v>548</v>
      </c>
      <c r="BG147" s="180" t="s">
        <v>1201</v>
      </c>
      <c r="BH147" s="177" t="s">
        <v>833</v>
      </c>
      <c r="BI147" s="177" t="s">
        <v>109</v>
      </c>
      <c r="BJ147" s="177" t="b">
        <v>1</v>
      </c>
      <c r="BK147" s="233">
        <v>3469.7910000000002</v>
      </c>
      <c r="BL147" s="234" t="s">
        <v>128</v>
      </c>
      <c r="BM147" s="233">
        <v>4365.5882700000002</v>
      </c>
      <c r="BN147" s="233">
        <v>3.2363400000000002</v>
      </c>
      <c r="BO147" s="233">
        <v>159.99428</v>
      </c>
      <c r="BP147" s="233">
        <v>2247.3690099999999</v>
      </c>
      <c r="BQ147" s="233">
        <v>1727.4986100000001</v>
      </c>
      <c r="BR147" s="233">
        <v>227.04742999999999</v>
      </c>
      <c r="BS147" s="233">
        <v>0.44259999999999999</v>
      </c>
      <c r="BT147" s="233">
        <v>0</v>
      </c>
      <c r="BU147" s="233">
        <v>0</v>
      </c>
      <c r="BV147" s="233">
        <v>0</v>
      </c>
      <c r="BW147" s="233">
        <v>0</v>
      </c>
      <c r="BX147" s="233">
        <v>0</v>
      </c>
      <c r="BY147" s="234">
        <v>0</v>
      </c>
      <c r="BZ147" s="236" t="s">
        <v>109</v>
      </c>
      <c r="CA147" s="236" t="s">
        <v>109</v>
      </c>
      <c r="CB147" s="236" t="s">
        <v>154</v>
      </c>
      <c r="CC147" s="233">
        <v>0</v>
      </c>
      <c r="CD147" s="233">
        <v>0</v>
      </c>
      <c r="CE147" s="233">
        <v>0</v>
      </c>
      <c r="CF147" s="233">
        <v>4138.0982400000003</v>
      </c>
      <c r="CG147" s="233">
        <v>227.04742999999999</v>
      </c>
      <c r="CH147" s="233">
        <v>0.44259999999999999</v>
      </c>
      <c r="CI147" s="233">
        <v>0</v>
      </c>
      <c r="CJ147" s="237">
        <v>0</v>
      </c>
      <c r="CK147" s="177" t="s">
        <v>128</v>
      </c>
      <c r="CL147" s="177" t="s">
        <v>128</v>
      </c>
      <c r="CM147" s="155" t="s">
        <v>109</v>
      </c>
      <c r="CN147" s="229">
        <v>0</v>
      </c>
      <c r="CO147" s="229">
        <v>1</v>
      </c>
      <c r="CP147" t="s">
        <v>480</v>
      </c>
      <c r="CR147" s="248"/>
    </row>
    <row r="148" spans="1:96" ht="14.4" x14ac:dyDescent="0.3">
      <c r="A148">
        <v>145</v>
      </c>
      <c r="B148" s="173" t="s">
        <v>1202</v>
      </c>
      <c r="C148" s="259"/>
      <c r="D148" s="260"/>
      <c r="E148" t="s">
        <v>191</v>
      </c>
      <c r="F148" t="s">
        <v>1203</v>
      </c>
      <c r="G148" s="177" t="s">
        <v>111</v>
      </c>
      <c r="H148" s="177" t="s">
        <v>113</v>
      </c>
      <c r="I148" s="177" t="s">
        <v>109</v>
      </c>
      <c r="J148" s="177" t="s">
        <v>109</v>
      </c>
      <c r="K148" s="177" t="s">
        <v>662</v>
      </c>
      <c r="L148" s="177" t="s">
        <v>432</v>
      </c>
      <c r="M148" s="177" t="s">
        <v>109</v>
      </c>
      <c r="N148" s="177" t="s">
        <v>109</v>
      </c>
      <c r="O148" s="180">
        <v>45736</v>
      </c>
      <c r="P148" s="177" t="s">
        <v>1204</v>
      </c>
      <c r="Q148" s="177" t="s">
        <v>109</v>
      </c>
      <c r="R148" s="177" t="s">
        <v>109</v>
      </c>
      <c r="S148" s="177" t="s">
        <v>109</v>
      </c>
      <c r="T148" s="177" t="s">
        <v>310</v>
      </c>
      <c r="U148" s="177" t="s">
        <v>918</v>
      </c>
      <c r="V148" s="177" t="b">
        <v>0</v>
      </c>
      <c r="W148" s="177" t="s">
        <v>109</v>
      </c>
      <c r="X148" s="261"/>
      <c r="Y148" s="177" t="s">
        <v>109</v>
      </c>
      <c r="Z148" s="176">
        <v>0.34</v>
      </c>
      <c r="AA148" s="177">
        <v>69</v>
      </c>
      <c r="AB148" s="177" t="s">
        <v>434</v>
      </c>
      <c r="AC148" s="177">
        <v>1.2</v>
      </c>
      <c r="AD148" s="177" t="s">
        <v>1205</v>
      </c>
      <c r="AE148" s="177" t="s">
        <v>1168</v>
      </c>
      <c r="AF148" s="177">
        <v>1</v>
      </c>
      <c r="AG148" s="177">
        <v>15259</v>
      </c>
      <c r="AH148" s="177" t="s">
        <v>121</v>
      </c>
      <c r="AI148" s="177" t="b">
        <v>1</v>
      </c>
      <c r="AJ148" s="180">
        <v>42613</v>
      </c>
      <c r="AK148" s="177" t="s">
        <v>122</v>
      </c>
      <c r="AL148" s="177" t="s">
        <v>109</v>
      </c>
      <c r="AM148" s="177" t="s">
        <v>109</v>
      </c>
      <c r="AN148" s="177" t="b">
        <v>0</v>
      </c>
      <c r="AO148" s="177" t="s">
        <v>109</v>
      </c>
      <c r="AP148" s="177" t="s">
        <v>109</v>
      </c>
      <c r="AQ148" s="177" t="s">
        <v>109</v>
      </c>
      <c r="AR148" s="177" t="b">
        <v>0</v>
      </c>
      <c r="AS148" s="177" t="s">
        <v>123</v>
      </c>
      <c r="AT148" s="180" t="s">
        <v>123</v>
      </c>
      <c r="AU148" s="177" t="s">
        <v>109</v>
      </c>
      <c r="AV148" s="177" t="s">
        <v>109</v>
      </c>
      <c r="AW148" s="177" t="s">
        <v>118</v>
      </c>
      <c r="AX148" s="177" t="s">
        <v>118</v>
      </c>
      <c r="AY148" s="177" t="s">
        <v>135</v>
      </c>
      <c r="AZ148" s="177" t="s">
        <v>109</v>
      </c>
      <c r="BA148" s="177" t="s">
        <v>218</v>
      </c>
      <c r="BB148" s="177" t="s">
        <v>109</v>
      </c>
      <c r="BC148" s="177" t="s">
        <v>126</v>
      </c>
      <c r="BD148" s="177" t="s">
        <v>109</v>
      </c>
      <c r="BE148" s="180" t="s">
        <v>1206</v>
      </c>
      <c r="BF148" s="180" t="s">
        <v>1207</v>
      </c>
      <c r="BG148" s="180" t="s">
        <v>1208</v>
      </c>
      <c r="BH148" s="177" t="s">
        <v>833</v>
      </c>
      <c r="BI148" s="177" t="s">
        <v>109</v>
      </c>
      <c r="BJ148" s="177" t="b">
        <v>0</v>
      </c>
      <c r="BK148" s="233">
        <v>4278</v>
      </c>
      <c r="BL148" s="234" t="s">
        <v>128</v>
      </c>
      <c r="BM148" s="233">
        <v>5055.0616122190004</v>
      </c>
      <c r="BN148" s="233">
        <v>369.14777429999998</v>
      </c>
      <c r="BO148" s="233">
        <v>807.06553059999999</v>
      </c>
      <c r="BP148" s="233">
        <v>45.01755</v>
      </c>
      <c r="BQ148" s="233">
        <v>-0.48343999999999998</v>
      </c>
      <c r="BR148" s="233">
        <v>0</v>
      </c>
      <c r="BS148" s="233">
        <v>0</v>
      </c>
      <c r="BT148" s="233">
        <v>0</v>
      </c>
      <c r="BU148" s="233">
        <v>0</v>
      </c>
      <c r="BV148" s="233">
        <v>0</v>
      </c>
      <c r="BW148" s="233">
        <v>0</v>
      </c>
      <c r="BX148" s="233">
        <v>0</v>
      </c>
      <c r="BY148" s="234">
        <v>0</v>
      </c>
      <c r="BZ148" s="236" t="s">
        <v>109</v>
      </c>
      <c r="CA148" s="236" t="s">
        <v>109</v>
      </c>
      <c r="CB148" s="236" t="s">
        <v>1209</v>
      </c>
      <c r="CC148" s="233">
        <v>0</v>
      </c>
      <c r="CD148" s="233">
        <v>0</v>
      </c>
      <c r="CE148" s="233">
        <v>5055.5450522000001</v>
      </c>
      <c r="CF148" s="233">
        <v>-0.48343999999999998</v>
      </c>
      <c r="CG148" s="233">
        <v>0</v>
      </c>
      <c r="CH148" s="233">
        <v>0</v>
      </c>
      <c r="CI148" s="233">
        <v>0</v>
      </c>
      <c r="CJ148" s="237">
        <v>0</v>
      </c>
      <c r="CK148" s="177" t="s">
        <v>128</v>
      </c>
      <c r="CL148" s="177" t="s">
        <v>128</v>
      </c>
      <c r="CM148" s="155" t="s">
        <v>109</v>
      </c>
      <c r="CN148" s="229">
        <v>0</v>
      </c>
      <c r="CO148" s="229">
        <v>1</v>
      </c>
      <c r="CP148" t="s">
        <v>480</v>
      </c>
      <c r="CR148" s="248"/>
    </row>
    <row r="149" spans="1:96" ht="14.4" x14ac:dyDescent="0.3">
      <c r="A149">
        <v>146</v>
      </c>
      <c r="B149" s="173" t="s">
        <v>1210</v>
      </c>
      <c r="C149" s="259"/>
      <c r="D149" s="260"/>
      <c r="E149" t="s">
        <v>191</v>
      </c>
      <c r="F149" t="s">
        <v>1203</v>
      </c>
      <c r="G149" s="177" t="s">
        <v>111</v>
      </c>
      <c r="H149" s="177" t="s">
        <v>113</v>
      </c>
      <c r="I149" s="177" t="s">
        <v>109</v>
      </c>
      <c r="J149" s="177" t="s">
        <v>109</v>
      </c>
      <c r="K149" s="177" t="s">
        <v>662</v>
      </c>
      <c r="L149" s="177" t="s">
        <v>432</v>
      </c>
      <c r="M149" s="177" t="s">
        <v>109</v>
      </c>
      <c r="N149" s="177" t="s">
        <v>109</v>
      </c>
      <c r="O149" s="180">
        <v>45770</v>
      </c>
      <c r="P149" s="177" t="s">
        <v>1204</v>
      </c>
      <c r="Q149" s="177" t="s">
        <v>109</v>
      </c>
      <c r="R149" s="177" t="s">
        <v>109</v>
      </c>
      <c r="S149" s="177" t="s">
        <v>109</v>
      </c>
      <c r="T149" s="177" t="s">
        <v>404</v>
      </c>
      <c r="U149" s="177" t="s">
        <v>918</v>
      </c>
      <c r="V149" s="177" t="b">
        <v>0</v>
      </c>
      <c r="W149" s="177" t="s">
        <v>109</v>
      </c>
      <c r="X149" s="261"/>
      <c r="Y149" s="177" t="s">
        <v>109</v>
      </c>
      <c r="Z149" s="176">
        <v>1.08</v>
      </c>
      <c r="AA149" s="177">
        <v>69</v>
      </c>
      <c r="AB149" s="177" t="s">
        <v>434</v>
      </c>
      <c r="AC149" s="177">
        <v>1.2</v>
      </c>
      <c r="AD149" s="177" t="s">
        <v>1211</v>
      </c>
      <c r="AE149" s="177" t="s">
        <v>1168</v>
      </c>
      <c r="AF149" s="177">
        <v>1</v>
      </c>
      <c r="AG149" s="177">
        <v>15259</v>
      </c>
      <c r="AH149" s="177" t="s">
        <v>121</v>
      </c>
      <c r="AI149" s="177" t="b">
        <v>1</v>
      </c>
      <c r="AJ149" s="180">
        <v>42613</v>
      </c>
      <c r="AK149" s="177" t="s">
        <v>122</v>
      </c>
      <c r="AL149" s="177" t="s">
        <v>109</v>
      </c>
      <c r="AM149" s="177" t="s">
        <v>109</v>
      </c>
      <c r="AN149" s="177" t="b">
        <v>0</v>
      </c>
      <c r="AO149" s="177" t="s">
        <v>109</v>
      </c>
      <c r="AP149" s="177" t="s">
        <v>109</v>
      </c>
      <c r="AQ149" s="177" t="s">
        <v>109</v>
      </c>
      <c r="AR149" s="177" t="b">
        <v>0</v>
      </c>
      <c r="AS149" s="177" t="s">
        <v>123</v>
      </c>
      <c r="AT149" s="180" t="s">
        <v>123</v>
      </c>
      <c r="AU149" s="177" t="s">
        <v>109</v>
      </c>
      <c r="AV149" s="177" t="s">
        <v>109</v>
      </c>
      <c r="AW149" s="177" t="s">
        <v>118</v>
      </c>
      <c r="AX149" s="177" t="s">
        <v>118</v>
      </c>
      <c r="AY149" s="177" t="s">
        <v>135</v>
      </c>
      <c r="AZ149" s="177" t="s">
        <v>109</v>
      </c>
      <c r="BA149" s="177" t="s">
        <v>218</v>
      </c>
      <c r="BB149" s="177" t="s">
        <v>109</v>
      </c>
      <c r="BC149" s="177" t="s">
        <v>126</v>
      </c>
      <c r="BD149" s="177" t="s">
        <v>109</v>
      </c>
      <c r="BE149" s="180" t="s">
        <v>1212</v>
      </c>
      <c r="BF149" s="180" t="s">
        <v>1207</v>
      </c>
      <c r="BG149" s="180" t="s">
        <v>1213</v>
      </c>
      <c r="BH149" s="177" t="s">
        <v>833</v>
      </c>
      <c r="BI149" s="177" t="s">
        <v>109</v>
      </c>
      <c r="BJ149" s="177" t="b">
        <v>0</v>
      </c>
      <c r="BK149" s="233">
        <v>5090</v>
      </c>
      <c r="BL149" s="234" t="s">
        <v>128</v>
      </c>
      <c r="BM149" s="233">
        <v>5802.8857724299996</v>
      </c>
      <c r="BN149" s="233">
        <v>353.78242649999999</v>
      </c>
      <c r="BO149" s="233">
        <v>905.09788060000005</v>
      </c>
      <c r="BP149" s="233">
        <v>770.92818</v>
      </c>
      <c r="BQ149" s="233">
        <v>77.915949999999995</v>
      </c>
      <c r="BR149" s="233">
        <v>4.7890000000000002E-2</v>
      </c>
      <c r="BS149" s="233">
        <v>0</v>
      </c>
      <c r="BT149" s="233">
        <v>0</v>
      </c>
      <c r="BU149" s="233">
        <v>0</v>
      </c>
      <c r="BV149" s="233">
        <v>0</v>
      </c>
      <c r="BW149" s="233">
        <v>0</v>
      </c>
      <c r="BX149" s="233">
        <v>0</v>
      </c>
      <c r="BY149" s="234">
        <v>0</v>
      </c>
      <c r="BZ149" s="236" t="s">
        <v>109</v>
      </c>
      <c r="CA149" s="236" t="s">
        <v>109</v>
      </c>
      <c r="CB149" s="236" t="s">
        <v>1214</v>
      </c>
      <c r="CC149" s="233">
        <v>0</v>
      </c>
      <c r="CD149" s="233">
        <v>-0.86437759999999997</v>
      </c>
      <c r="CE149" s="233">
        <v>0</v>
      </c>
      <c r="CF149" s="233">
        <v>5803.70226</v>
      </c>
      <c r="CG149" s="233">
        <v>4.7890000000000002E-2</v>
      </c>
      <c r="CH149" s="233">
        <v>0</v>
      </c>
      <c r="CI149" s="233">
        <v>0</v>
      </c>
      <c r="CJ149" s="237">
        <v>0</v>
      </c>
      <c r="CK149" s="177" t="s">
        <v>128</v>
      </c>
      <c r="CL149" s="177" t="s">
        <v>128</v>
      </c>
      <c r="CM149" s="155" t="s">
        <v>109</v>
      </c>
      <c r="CN149" s="229">
        <v>0</v>
      </c>
      <c r="CO149" s="229">
        <v>1</v>
      </c>
      <c r="CP149" t="s">
        <v>480</v>
      </c>
      <c r="CR149" s="248"/>
    </row>
    <row r="150" spans="1:96" ht="14.4" x14ac:dyDescent="0.3">
      <c r="A150">
        <v>147</v>
      </c>
      <c r="B150" s="173" t="s">
        <v>1215</v>
      </c>
      <c r="C150" s="259"/>
      <c r="D150" s="260"/>
      <c r="E150" t="s">
        <v>1216</v>
      </c>
      <c r="F150" t="s">
        <v>1217</v>
      </c>
      <c r="G150" s="177" t="s">
        <v>111</v>
      </c>
      <c r="H150" s="177" t="s">
        <v>113</v>
      </c>
      <c r="I150" s="177" t="s">
        <v>109</v>
      </c>
      <c r="J150" s="177" t="s">
        <v>109</v>
      </c>
      <c r="K150" s="177" t="s">
        <v>662</v>
      </c>
      <c r="L150" s="177" t="s">
        <v>432</v>
      </c>
      <c r="M150" s="177" t="s">
        <v>109</v>
      </c>
      <c r="N150" s="177" t="s">
        <v>109</v>
      </c>
      <c r="O150" s="180">
        <v>45785</v>
      </c>
      <c r="P150" s="177" t="s">
        <v>1218</v>
      </c>
      <c r="Q150" s="177" t="s">
        <v>109</v>
      </c>
      <c r="R150" s="177" t="s">
        <v>109</v>
      </c>
      <c r="S150" s="177" t="s">
        <v>109</v>
      </c>
      <c r="T150" s="177" t="s">
        <v>404</v>
      </c>
      <c r="U150" s="177" t="s">
        <v>918</v>
      </c>
      <c r="V150" s="177" t="b">
        <v>0</v>
      </c>
      <c r="W150" s="177" t="s">
        <v>109</v>
      </c>
      <c r="X150" s="261"/>
      <c r="Y150" s="177" t="s">
        <v>109</v>
      </c>
      <c r="Z150" s="176">
        <v>1.37</v>
      </c>
      <c r="AA150" s="177">
        <v>69</v>
      </c>
      <c r="AB150" s="177" t="s">
        <v>434</v>
      </c>
      <c r="AC150" s="177">
        <v>1.2</v>
      </c>
      <c r="AD150" s="177" t="s">
        <v>1219</v>
      </c>
      <c r="AE150" s="177" t="s">
        <v>1168</v>
      </c>
      <c r="AF150" s="177">
        <v>1</v>
      </c>
      <c r="AG150" s="177">
        <v>15259</v>
      </c>
      <c r="AH150" s="177" t="s">
        <v>121</v>
      </c>
      <c r="AI150" s="177" t="b">
        <v>1</v>
      </c>
      <c r="AJ150" s="180">
        <v>44243</v>
      </c>
      <c r="AK150" s="177" t="s">
        <v>122</v>
      </c>
      <c r="AL150" s="177">
        <v>2022</v>
      </c>
      <c r="AM150" s="177" t="s">
        <v>109</v>
      </c>
      <c r="AN150" s="177" t="b">
        <v>0</v>
      </c>
      <c r="AO150" s="177" t="s">
        <v>109</v>
      </c>
      <c r="AP150" s="177" t="s">
        <v>109</v>
      </c>
      <c r="AQ150" s="177" t="s">
        <v>109</v>
      </c>
      <c r="AR150" s="177" t="b">
        <v>0</v>
      </c>
      <c r="AS150" s="177" t="s">
        <v>123</v>
      </c>
      <c r="AT150" s="180" t="s">
        <v>123</v>
      </c>
      <c r="AU150" s="177" t="s">
        <v>109</v>
      </c>
      <c r="AV150" s="177" t="s">
        <v>109</v>
      </c>
      <c r="AW150" s="177" t="s">
        <v>226</v>
      </c>
      <c r="AX150" s="177" t="s">
        <v>118</v>
      </c>
      <c r="AY150" s="177" t="s">
        <v>135</v>
      </c>
      <c r="AZ150" s="177" t="s">
        <v>109</v>
      </c>
      <c r="BA150" s="177" t="s">
        <v>218</v>
      </c>
      <c r="BB150" s="177" t="s">
        <v>109</v>
      </c>
      <c r="BC150" s="177" t="s">
        <v>126</v>
      </c>
      <c r="BD150" s="177" t="s">
        <v>109</v>
      </c>
      <c r="BE150" s="180" t="s">
        <v>1220</v>
      </c>
      <c r="BF150" s="180" t="s">
        <v>1221</v>
      </c>
      <c r="BG150" s="180" t="s">
        <v>1222</v>
      </c>
      <c r="BH150" s="177" t="s">
        <v>833</v>
      </c>
      <c r="BI150" s="177" t="s">
        <v>109</v>
      </c>
      <c r="BJ150" s="177" t="b">
        <v>1</v>
      </c>
      <c r="BK150" s="233">
        <v>508.00720000000001</v>
      </c>
      <c r="BL150" s="234" t="s">
        <v>128</v>
      </c>
      <c r="BM150" s="233">
        <v>1052.2227256900001</v>
      </c>
      <c r="BN150" s="233">
        <v>0</v>
      </c>
      <c r="BO150" s="233">
        <v>37.09787</v>
      </c>
      <c r="BP150" s="233">
        <v>58.732709999999997</v>
      </c>
      <c r="BQ150" s="233">
        <v>546.56544970000004</v>
      </c>
      <c r="BR150" s="233">
        <v>404.855076</v>
      </c>
      <c r="BS150" s="233">
        <v>4.9716199999999997</v>
      </c>
      <c r="BT150" s="233">
        <v>0</v>
      </c>
      <c r="BU150" s="233">
        <v>0</v>
      </c>
      <c r="BV150" s="233">
        <v>0</v>
      </c>
      <c r="BW150" s="233">
        <v>0</v>
      </c>
      <c r="BX150" s="233">
        <v>0</v>
      </c>
      <c r="BY150" s="234">
        <v>0</v>
      </c>
      <c r="BZ150" s="236" t="s">
        <v>109</v>
      </c>
      <c r="CA150" s="236" t="s">
        <v>109</v>
      </c>
      <c r="CB150" s="236" t="s">
        <v>196</v>
      </c>
      <c r="CC150" s="233">
        <v>0</v>
      </c>
      <c r="CD150" s="233">
        <v>0</v>
      </c>
      <c r="CE150" s="233">
        <v>0</v>
      </c>
      <c r="CF150" s="233">
        <v>0</v>
      </c>
      <c r="CG150" s="233">
        <v>1047.2511056999999</v>
      </c>
      <c r="CH150" s="233">
        <v>4.9716199999999997</v>
      </c>
      <c r="CI150" s="233">
        <v>0</v>
      </c>
      <c r="CJ150" s="237">
        <v>0</v>
      </c>
      <c r="CK150" s="177" t="s">
        <v>128</v>
      </c>
      <c r="CL150" s="177" t="s">
        <v>128</v>
      </c>
      <c r="CM150" s="155" t="s">
        <v>109</v>
      </c>
      <c r="CN150" s="229">
        <v>0</v>
      </c>
      <c r="CO150" s="229">
        <v>1</v>
      </c>
      <c r="CP150" t="s">
        <v>480</v>
      </c>
      <c r="CR150" s="248"/>
    </row>
    <row r="151" spans="1:96" ht="14.4" x14ac:dyDescent="0.3">
      <c r="A151">
        <v>148</v>
      </c>
      <c r="B151" s="173" t="s">
        <v>1223</v>
      </c>
      <c r="C151" s="259"/>
      <c r="D151" s="260"/>
      <c r="E151" t="s">
        <v>191</v>
      </c>
      <c r="F151" t="s">
        <v>1224</v>
      </c>
      <c r="G151" s="177" t="s">
        <v>111</v>
      </c>
      <c r="H151" s="177" t="s">
        <v>113</v>
      </c>
      <c r="I151" s="177" t="s">
        <v>109</v>
      </c>
      <c r="J151" s="177" t="s">
        <v>109</v>
      </c>
      <c r="K151" s="177" t="s">
        <v>662</v>
      </c>
      <c r="L151" s="177" t="s">
        <v>432</v>
      </c>
      <c r="M151" s="177" t="s">
        <v>109</v>
      </c>
      <c r="N151" s="177" t="s">
        <v>109</v>
      </c>
      <c r="O151" s="180">
        <v>45756</v>
      </c>
      <c r="P151" s="177" t="s">
        <v>1225</v>
      </c>
      <c r="Q151" s="177" t="s">
        <v>109</v>
      </c>
      <c r="R151" s="177" t="s">
        <v>109</v>
      </c>
      <c r="S151" s="177" t="s">
        <v>109</v>
      </c>
      <c r="T151" s="177" t="s">
        <v>404</v>
      </c>
      <c r="U151" s="177" t="s">
        <v>918</v>
      </c>
      <c r="V151" s="177" t="b">
        <v>0</v>
      </c>
      <c r="W151" s="177" t="s">
        <v>109</v>
      </c>
      <c r="X151" s="261"/>
      <c r="Y151" s="177" t="s">
        <v>109</v>
      </c>
      <c r="Z151" s="176">
        <v>0.12</v>
      </c>
      <c r="AA151" s="177">
        <v>69</v>
      </c>
      <c r="AB151" s="177" t="s">
        <v>434</v>
      </c>
      <c r="AC151" s="177">
        <v>1.2</v>
      </c>
      <c r="AD151" s="177" t="s">
        <v>1226</v>
      </c>
      <c r="AE151" s="177" t="s">
        <v>1168</v>
      </c>
      <c r="AF151" s="177">
        <v>1</v>
      </c>
      <c r="AG151" s="177">
        <v>15259</v>
      </c>
      <c r="AH151" s="177" t="s">
        <v>121</v>
      </c>
      <c r="AI151" s="177" t="b">
        <v>1</v>
      </c>
      <c r="AJ151" s="180">
        <v>43130</v>
      </c>
      <c r="AK151" s="177" t="s">
        <v>122</v>
      </c>
      <c r="AL151" s="177">
        <v>2021</v>
      </c>
      <c r="AM151" s="177" t="s">
        <v>109</v>
      </c>
      <c r="AN151" s="177" t="b">
        <v>0</v>
      </c>
      <c r="AO151" s="177" t="s">
        <v>109</v>
      </c>
      <c r="AP151" s="177" t="s">
        <v>109</v>
      </c>
      <c r="AQ151" s="177" t="s">
        <v>109</v>
      </c>
      <c r="AR151" s="177" t="b">
        <v>0</v>
      </c>
      <c r="AS151" s="177" t="s">
        <v>123</v>
      </c>
      <c r="AT151" s="180" t="s">
        <v>123</v>
      </c>
      <c r="AU151" s="177" t="s">
        <v>109</v>
      </c>
      <c r="AV151" s="177" t="s">
        <v>109</v>
      </c>
      <c r="AW151" s="177" t="s">
        <v>226</v>
      </c>
      <c r="AX151" s="177" t="s">
        <v>118</v>
      </c>
      <c r="AY151" s="177" t="s">
        <v>135</v>
      </c>
      <c r="AZ151" s="177" t="s">
        <v>109</v>
      </c>
      <c r="BA151" s="177" t="s">
        <v>218</v>
      </c>
      <c r="BB151" s="177" t="s">
        <v>109</v>
      </c>
      <c r="BC151" s="177" t="s">
        <v>126</v>
      </c>
      <c r="BD151" s="177" t="s">
        <v>109</v>
      </c>
      <c r="BE151" s="180" t="s">
        <v>1227</v>
      </c>
      <c r="BF151" s="180" t="s">
        <v>1221</v>
      </c>
      <c r="BG151" s="180" t="s">
        <v>752</v>
      </c>
      <c r="BH151" s="177" t="s">
        <v>521</v>
      </c>
      <c r="BI151" s="177" t="s">
        <v>109</v>
      </c>
      <c r="BJ151" s="177" t="b">
        <v>1</v>
      </c>
      <c r="BK151" s="233">
        <v>112.179</v>
      </c>
      <c r="BL151" s="234" t="s">
        <v>128</v>
      </c>
      <c r="BM151" s="233">
        <v>1128.67448556716</v>
      </c>
      <c r="BN151" s="233">
        <v>67.916547499999993</v>
      </c>
      <c r="BO151" s="233">
        <v>87.156192300000001</v>
      </c>
      <c r="BP151" s="233">
        <v>336.37738999999999</v>
      </c>
      <c r="BQ151" s="233">
        <v>203.79232999999999</v>
      </c>
      <c r="BR151" s="233">
        <v>152.93616</v>
      </c>
      <c r="BS151" s="233">
        <v>27.569569999999999</v>
      </c>
      <c r="BT151" s="233">
        <v>6.5040799999998899E-2</v>
      </c>
      <c r="BU151" s="233">
        <v>0</v>
      </c>
      <c r="BV151" s="233">
        <v>0</v>
      </c>
      <c r="BW151" s="233">
        <v>0</v>
      </c>
      <c r="BX151" s="233">
        <v>0</v>
      </c>
      <c r="BY151" s="234">
        <v>0</v>
      </c>
      <c r="BZ151" s="236" t="s">
        <v>109</v>
      </c>
      <c r="CA151" s="236" t="s">
        <v>109</v>
      </c>
      <c r="CB151" s="236" t="s">
        <v>842</v>
      </c>
      <c r="CC151" s="233">
        <v>0</v>
      </c>
      <c r="CD151" s="233">
        <v>407.93399479999999</v>
      </c>
      <c r="CE151" s="233">
        <v>336.37738999999999</v>
      </c>
      <c r="CF151" s="233">
        <v>203.79232999999999</v>
      </c>
      <c r="CG151" s="233">
        <v>152.93616</v>
      </c>
      <c r="CH151" s="233">
        <v>27.569569999999999</v>
      </c>
      <c r="CI151" s="233">
        <v>6.5040799999998899E-2</v>
      </c>
      <c r="CJ151" s="237">
        <v>0</v>
      </c>
      <c r="CK151" s="177" t="s">
        <v>128</v>
      </c>
      <c r="CL151" s="177" t="s">
        <v>128</v>
      </c>
      <c r="CM151" s="155" t="s">
        <v>109</v>
      </c>
      <c r="CN151" s="229">
        <v>0</v>
      </c>
      <c r="CO151" s="229">
        <v>1</v>
      </c>
      <c r="CP151" t="s">
        <v>480</v>
      </c>
      <c r="CR151" s="248"/>
    </row>
    <row r="152" spans="1:96" ht="14.4" x14ac:dyDescent="0.3">
      <c r="A152">
        <v>149</v>
      </c>
      <c r="B152" s="173" t="s">
        <v>1228</v>
      </c>
      <c r="C152" s="259"/>
      <c r="D152" s="260"/>
      <c r="E152" t="s">
        <v>109</v>
      </c>
      <c r="F152" t="s">
        <v>1229</v>
      </c>
      <c r="G152" s="177" t="s">
        <v>1080</v>
      </c>
      <c r="H152" s="177" t="s">
        <v>113</v>
      </c>
      <c r="I152" s="177" t="s">
        <v>109</v>
      </c>
      <c r="J152" s="177" t="s">
        <v>109</v>
      </c>
      <c r="K152" s="177" t="s">
        <v>114</v>
      </c>
      <c r="L152" s="177" t="s">
        <v>1074</v>
      </c>
      <c r="M152" s="177" t="s">
        <v>194</v>
      </c>
      <c r="N152" s="177" t="s">
        <v>109</v>
      </c>
      <c r="O152" s="180" t="s">
        <v>109</v>
      </c>
      <c r="P152" s="177" t="s">
        <v>109</v>
      </c>
      <c r="Q152" s="177" t="s">
        <v>109</v>
      </c>
      <c r="R152" s="177" t="s">
        <v>342</v>
      </c>
      <c r="S152" s="177" t="s">
        <v>109</v>
      </c>
      <c r="T152" s="177" t="s">
        <v>116</v>
      </c>
      <c r="U152" s="177" t="s">
        <v>117</v>
      </c>
      <c r="V152" s="177" t="b">
        <v>0</v>
      </c>
      <c r="W152" s="177" t="s">
        <v>109</v>
      </c>
      <c r="X152" s="261"/>
      <c r="Y152" s="177" t="s">
        <v>118</v>
      </c>
      <c r="Z152" s="177" t="s">
        <v>118</v>
      </c>
      <c r="AA152" s="177" t="s">
        <v>119</v>
      </c>
      <c r="AB152" s="177" t="s">
        <v>109</v>
      </c>
      <c r="AC152" s="177">
        <v>4.3</v>
      </c>
      <c r="AD152" s="177" t="s">
        <v>119</v>
      </c>
      <c r="AE152" s="177" t="s">
        <v>1230</v>
      </c>
      <c r="AF152" s="177">
        <v>40</v>
      </c>
      <c r="AG152" s="177">
        <v>16126</v>
      </c>
      <c r="AH152" s="177" t="s">
        <v>121</v>
      </c>
      <c r="AI152" s="177" t="b">
        <v>1</v>
      </c>
      <c r="AJ152" s="180">
        <v>45775</v>
      </c>
      <c r="AK152" s="177" t="s">
        <v>122</v>
      </c>
      <c r="AL152" s="177" t="s">
        <v>109</v>
      </c>
      <c r="AM152" s="177" t="s">
        <v>109</v>
      </c>
      <c r="AN152" s="177" t="b">
        <v>0</v>
      </c>
      <c r="AO152" s="177" t="s">
        <v>109</v>
      </c>
      <c r="AP152" s="177" t="s">
        <v>109</v>
      </c>
      <c r="AQ152" s="177" t="s">
        <v>118</v>
      </c>
      <c r="AR152" s="177" t="b">
        <v>0</v>
      </c>
      <c r="AS152" s="177" t="s">
        <v>123</v>
      </c>
      <c r="AT152" s="180" t="s">
        <v>123</v>
      </c>
      <c r="AU152" s="177" t="s">
        <v>124</v>
      </c>
      <c r="AV152" s="177" t="s">
        <v>109</v>
      </c>
      <c r="AW152" s="177" t="s">
        <v>118</v>
      </c>
      <c r="AX152" s="177" t="s">
        <v>118</v>
      </c>
      <c r="AY152" s="177" t="s">
        <v>109</v>
      </c>
      <c r="AZ152" s="177" t="s">
        <v>109</v>
      </c>
      <c r="BA152" s="177" t="s">
        <v>109</v>
      </c>
      <c r="BB152" s="177" t="s">
        <v>109</v>
      </c>
      <c r="BC152" s="177" t="s">
        <v>296</v>
      </c>
      <c r="BD152" s="177" t="s">
        <v>109</v>
      </c>
      <c r="BE152" s="180" t="s">
        <v>109</v>
      </c>
      <c r="BF152" s="180" t="s">
        <v>127</v>
      </c>
      <c r="BG152" s="180" t="s">
        <v>119</v>
      </c>
      <c r="BH152" s="177" t="s">
        <v>109</v>
      </c>
      <c r="BI152" s="177" t="s">
        <v>109</v>
      </c>
      <c r="BJ152" s="177" t="b">
        <v>1</v>
      </c>
      <c r="BK152" s="233" t="s">
        <v>118</v>
      </c>
      <c r="BL152" s="234" t="s">
        <v>128</v>
      </c>
      <c r="BM152" s="233">
        <f>105931.407775627-SUM(BM153:BM164)</f>
        <v>80829.883421820472</v>
      </c>
      <c r="BN152" s="235">
        <f>2401.6184978-SUM(BN153:BN164)</f>
        <v>1072.1829678000001</v>
      </c>
      <c r="BO152" s="235">
        <f>7464.7159-SUM(BO153:BO164)</f>
        <v>1755.4950000000008</v>
      </c>
      <c r="BP152" s="235">
        <f>7251.3013-SUM(BP153:BP164)</f>
        <v>1607.0516500000003</v>
      </c>
      <c r="BQ152" s="235">
        <f>7847.44288-SUM(BQ153:BQ164)</f>
        <v>3249.7337799999996</v>
      </c>
      <c r="BR152" s="235">
        <f>7414.37407-SUM(BR153:BR164)</f>
        <v>646.8744200000001</v>
      </c>
      <c r="BS152" s="235">
        <f>913.3898-SUM(BS153:BS164)</f>
        <v>154.83801999999991</v>
      </c>
      <c r="BT152" s="235">
        <f>4182.6078596-SUM(BT153:BT164)</f>
        <v>4096.4561446999996</v>
      </c>
      <c r="BU152" s="235">
        <f>4392.1054954-SUM(BU153:BU164)</f>
        <v>4358.3310165000003</v>
      </c>
      <c r="BV152" s="235">
        <f>5042.4534026-SUM(BV153:BV164)</f>
        <v>5042.4534026000001</v>
      </c>
      <c r="BW152" s="235">
        <f>5655.9062473-SUM(BW153:BW164)</f>
        <v>5655.9062473000004</v>
      </c>
      <c r="BX152" s="235">
        <f>6336.2787868-SUM(BX153:BX164)</f>
        <v>6336.2787867999996</v>
      </c>
      <c r="BY152" s="234">
        <v>1111.8759999999997</v>
      </c>
      <c r="BZ152" s="236" t="s">
        <v>109</v>
      </c>
      <c r="CA152" s="236" t="s">
        <v>109</v>
      </c>
      <c r="CB152" s="236" t="s">
        <v>966</v>
      </c>
      <c r="CC152" s="238">
        <f>2664.9853337-SUM(CC153:CC164)</f>
        <v>1160.6182537</v>
      </c>
      <c r="CD152" s="238">
        <f>269.10685-SUM(CD153:CD164)</f>
        <v>0</v>
      </c>
      <c r="CE152" s="238">
        <f>4148.48548-SUM(CE153:CE164)</f>
        <v>4080.3817000000004</v>
      </c>
      <c r="CF152" s="238">
        <f>14322.32926-SUM(CF153:CF164)</f>
        <v>1914.9294800000007</v>
      </c>
      <c r="CG152" s="238">
        <f>6449.02288-SUM(CG153:CG164)</f>
        <v>1300.6346800000001</v>
      </c>
      <c r="CH152" s="238">
        <f>2999.71062-SUM(CH153:CH164)</f>
        <v>0.17921999999998661</v>
      </c>
      <c r="CI152" s="235">
        <f>2128.2089451-SUM(CI153:CI164)</f>
        <v>723.70162990000017</v>
      </c>
      <c r="CJ152" s="237">
        <v>0</v>
      </c>
      <c r="CK152" s="177" t="s">
        <v>128</v>
      </c>
      <c r="CL152" s="177">
        <v>5</v>
      </c>
      <c r="CM152" s="155" t="s">
        <v>109</v>
      </c>
      <c r="CN152" s="229">
        <v>0.13550000000000001</v>
      </c>
      <c r="CO152" s="229">
        <v>0.86450000000000005</v>
      </c>
      <c r="CP152" t="s">
        <v>155</v>
      </c>
      <c r="CR152" s="248"/>
    </row>
    <row r="153" spans="1:96" ht="28.8" x14ac:dyDescent="0.3">
      <c r="A153">
        <v>150</v>
      </c>
      <c r="B153" s="173" t="s">
        <v>1231</v>
      </c>
      <c r="C153" s="259"/>
      <c r="D153" s="260"/>
      <c r="E153" t="s">
        <v>329</v>
      </c>
      <c r="F153" t="s">
        <v>1232</v>
      </c>
      <c r="G153" s="177" t="s">
        <v>1080</v>
      </c>
      <c r="H153" s="177" t="s">
        <v>113</v>
      </c>
      <c r="I153" s="177" t="s">
        <v>109</v>
      </c>
      <c r="J153" s="177" t="s">
        <v>109</v>
      </c>
      <c r="K153" s="177" t="s">
        <v>1073</v>
      </c>
      <c r="L153" s="177" t="s">
        <v>1074</v>
      </c>
      <c r="M153" s="177" t="s">
        <v>109</v>
      </c>
      <c r="N153" s="177" t="s">
        <v>109</v>
      </c>
      <c r="O153" s="180">
        <v>45754</v>
      </c>
      <c r="P153" s="177" t="s">
        <v>109</v>
      </c>
      <c r="Q153" s="177" t="s">
        <v>109</v>
      </c>
      <c r="R153" s="177" t="s">
        <v>109</v>
      </c>
      <c r="S153" s="177" t="s">
        <v>109</v>
      </c>
      <c r="T153" s="177" t="s">
        <v>116</v>
      </c>
      <c r="U153" s="177" t="s">
        <v>117</v>
      </c>
      <c r="V153" s="177" t="b">
        <v>0</v>
      </c>
      <c r="W153" s="177" t="s">
        <v>109</v>
      </c>
      <c r="X153" s="261"/>
      <c r="Y153" s="177" t="s">
        <v>109</v>
      </c>
      <c r="Z153" s="177" t="s">
        <v>118</v>
      </c>
      <c r="AA153" s="177" t="s">
        <v>109</v>
      </c>
      <c r="AB153" s="177" t="s">
        <v>109</v>
      </c>
      <c r="AC153" s="177">
        <v>4.3</v>
      </c>
      <c r="AD153" s="177" t="s">
        <v>109</v>
      </c>
      <c r="AE153" s="177" t="s">
        <v>1230</v>
      </c>
      <c r="AF153" s="177">
        <v>1</v>
      </c>
      <c r="AG153" s="177">
        <v>16126</v>
      </c>
      <c r="AH153" s="177" t="s">
        <v>121</v>
      </c>
      <c r="AI153" s="177" t="b">
        <v>1</v>
      </c>
      <c r="AJ153" s="180">
        <v>44225</v>
      </c>
      <c r="AK153" s="177" t="s">
        <v>122</v>
      </c>
      <c r="AL153" s="177" t="s">
        <v>109</v>
      </c>
      <c r="AM153" s="177" t="s">
        <v>109</v>
      </c>
      <c r="AN153" s="177" t="b">
        <v>0</v>
      </c>
      <c r="AO153" s="177" t="s">
        <v>109</v>
      </c>
      <c r="AP153" s="177" t="s">
        <v>109</v>
      </c>
      <c r="AQ153" s="177" t="s">
        <v>118</v>
      </c>
      <c r="AR153" s="177" t="b">
        <v>0</v>
      </c>
      <c r="AS153" s="177" t="s">
        <v>123</v>
      </c>
      <c r="AT153" s="180" t="s">
        <v>123</v>
      </c>
      <c r="AU153" s="177" t="s">
        <v>124</v>
      </c>
      <c r="AV153" s="177" t="s">
        <v>109</v>
      </c>
      <c r="AW153" s="177" t="s">
        <v>109</v>
      </c>
      <c r="AX153" s="177" t="s">
        <v>109</v>
      </c>
      <c r="AY153" s="177" t="s">
        <v>135</v>
      </c>
      <c r="AZ153" s="177" t="s">
        <v>109</v>
      </c>
      <c r="BA153" s="177" t="s">
        <v>125</v>
      </c>
      <c r="BB153" s="177" t="s">
        <v>109</v>
      </c>
      <c r="BC153" s="177" t="s">
        <v>126</v>
      </c>
      <c r="BD153" s="177" t="s">
        <v>109</v>
      </c>
      <c r="BE153" s="180" t="s">
        <v>109</v>
      </c>
      <c r="BF153" s="180" t="s">
        <v>1068</v>
      </c>
      <c r="BG153" s="180">
        <v>45137</v>
      </c>
      <c r="BH153" s="177" t="s">
        <v>109</v>
      </c>
      <c r="BI153" s="177" t="s">
        <v>109</v>
      </c>
      <c r="BJ153" s="177" t="b">
        <v>0</v>
      </c>
      <c r="BK153" s="233">
        <v>2214.5143200000002</v>
      </c>
      <c r="BL153" s="234" t="s">
        <v>128</v>
      </c>
      <c r="BM153" s="233">
        <v>9124.9231400000008</v>
      </c>
      <c r="BN153" s="233">
        <v>0</v>
      </c>
      <c r="BO153" s="233">
        <v>5152.3225199999997</v>
      </c>
      <c r="BP153" s="233">
        <v>3045.8477800000001</v>
      </c>
      <c r="BQ153" s="233">
        <v>938.35378000000003</v>
      </c>
      <c r="BR153" s="233">
        <v>-11.60094</v>
      </c>
      <c r="BS153" s="233">
        <v>0</v>
      </c>
      <c r="BT153" s="233">
        <v>0</v>
      </c>
      <c r="BU153" s="233">
        <v>0</v>
      </c>
      <c r="BV153" s="233">
        <v>0</v>
      </c>
      <c r="BW153" s="233">
        <v>0</v>
      </c>
      <c r="BX153" s="233">
        <v>0</v>
      </c>
      <c r="BY153" s="234">
        <v>0</v>
      </c>
      <c r="BZ153" s="236" t="s">
        <v>109</v>
      </c>
      <c r="CA153" s="236" t="s">
        <v>109</v>
      </c>
      <c r="CB153" s="236" t="s">
        <v>174</v>
      </c>
      <c r="CC153" s="233">
        <v>0</v>
      </c>
      <c r="CD153" s="233">
        <v>0</v>
      </c>
      <c r="CE153" s="233">
        <v>0</v>
      </c>
      <c r="CF153" s="233">
        <v>9136.5240799999992</v>
      </c>
      <c r="CG153" s="233">
        <v>-11.60094</v>
      </c>
      <c r="CH153" s="233">
        <v>0</v>
      </c>
      <c r="CI153" s="233">
        <v>0</v>
      </c>
      <c r="CJ153" s="237">
        <v>0</v>
      </c>
      <c r="CK153" s="177" t="s">
        <v>128</v>
      </c>
      <c r="CL153" s="177" t="s">
        <v>128</v>
      </c>
      <c r="CM153" s="155" t="s">
        <v>109</v>
      </c>
      <c r="CN153" s="229">
        <v>0</v>
      </c>
      <c r="CO153" s="229">
        <v>0</v>
      </c>
      <c r="CP153" s="138" t="s">
        <v>1233</v>
      </c>
      <c r="CR153" s="248"/>
    </row>
    <row r="154" spans="1:96" ht="14.4" x14ac:dyDescent="0.3">
      <c r="A154">
        <v>151</v>
      </c>
      <c r="B154" s="173" t="s">
        <v>1234</v>
      </c>
      <c r="C154" s="259"/>
      <c r="D154" s="260"/>
      <c r="E154" t="s">
        <v>329</v>
      </c>
      <c r="F154" t="s">
        <v>1235</v>
      </c>
      <c r="G154" s="177" t="s">
        <v>355</v>
      </c>
      <c r="H154" s="177" t="s">
        <v>113</v>
      </c>
      <c r="I154" s="177" t="s">
        <v>146</v>
      </c>
      <c r="J154" s="177" t="s">
        <v>109</v>
      </c>
      <c r="K154" s="177" t="s">
        <v>1073</v>
      </c>
      <c r="L154" s="177" t="s">
        <v>1074</v>
      </c>
      <c r="M154" s="177" t="s">
        <v>109</v>
      </c>
      <c r="N154" s="177" t="s">
        <v>109</v>
      </c>
      <c r="O154" s="180">
        <v>45797</v>
      </c>
      <c r="P154" s="177" t="s">
        <v>109</v>
      </c>
      <c r="Q154" s="177" t="s">
        <v>109</v>
      </c>
      <c r="R154" s="177" t="s">
        <v>109</v>
      </c>
      <c r="S154" s="177" t="s">
        <v>109</v>
      </c>
      <c r="T154" s="177" t="s">
        <v>116</v>
      </c>
      <c r="U154" s="177" t="s">
        <v>117</v>
      </c>
      <c r="V154" s="177" t="b">
        <v>0</v>
      </c>
      <c r="W154" s="177" t="s">
        <v>109</v>
      </c>
      <c r="X154" s="261"/>
      <c r="Y154" s="177" t="s">
        <v>109</v>
      </c>
      <c r="Z154" s="176">
        <v>0.8</v>
      </c>
      <c r="AA154" s="177">
        <v>69</v>
      </c>
      <c r="AB154" s="177" t="s">
        <v>109</v>
      </c>
      <c r="AC154" s="177">
        <v>4.3</v>
      </c>
      <c r="AD154" s="177" t="s">
        <v>1236</v>
      </c>
      <c r="AE154" s="177" t="s">
        <v>1230</v>
      </c>
      <c r="AF154" s="177">
        <v>1</v>
      </c>
      <c r="AG154" s="177">
        <v>16126</v>
      </c>
      <c r="AH154" s="177" t="s">
        <v>121</v>
      </c>
      <c r="AI154" s="177" t="b">
        <v>1</v>
      </c>
      <c r="AJ154" s="180">
        <v>44533</v>
      </c>
      <c r="AK154" s="177" t="s">
        <v>122</v>
      </c>
      <c r="AL154" s="177" t="s">
        <v>109</v>
      </c>
      <c r="AM154" s="177" t="s">
        <v>109</v>
      </c>
      <c r="AN154" s="177" t="b">
        <v>0</v>
      </c>
      <c r="AO154" s="177" t="s">
        <v>109</v>
      </c>
      <c r="AP154" s="177" t="s">
        <v>109</v>
      </c>
      <c r="AQ154" s="177" t="s">
        <v>118</v>
      </c>
      <c r="AR154" s="177" t="b">
        <v>0</v>
      </c>
      <c r="AS154" s="177" t="s">
        <v>123</v>
      </c>
      <c r="AT154" s="180" t="s">
        <v>123</v>
      </c>
      <c r="AU154" s="177" t="s">
        <v>124</v>
      </c>
      <c r="AV154" s="177" t="s">
        <v>109</v>
      </c>
      <c r="AW154" s="177" t="s">
        <v>109</v>
      </c>
      <c r="AX154" s="177" t="s">
        <v>109</v>
      </c>
      <c r="AY154" s="177" t="s">
        <v>135</v>
      </c>
      <c r="AZ154" s="177" t="s">
        <v>109</v>
      </c>
      <c r="BA154" s="177" t="s">
        <v>125</v>
      </c>
      <c r="BB154" s="177" t="s">
        <v>109</v>
      </c>
      <c r="BC154" s="177" t="s">
        <v>126</v>
      </c>
      <c r="BD154" s="177" t="s">
        <v>109</v>
      </c>
      <c r="BE154" s="180" t="s">
        <v>1237</v>
      </c>
      <c r="BF154" s="180" t="s">
        <v>137</v>
      </c>
      <c r="BG154" s="180" t="s">
        <v>751</v>
      </c>
      <c r="BH154" s="177" t="s">
        <v>109</v>
      </c>
      <c r="BI154" s="177" t="s">
        <v>109</v>
      </c>
      <c r="BJ154" s="177" t="b">
        <v>0</v>
      </c>
      <c r="BK154" s="233">
        <v>2536.55717</v>
      </c>
      <c r="BL154" s="234" t="s">
        <v>128</v>
      </c>
      <c r="BM154" s="233">
        <v>1812.1810399999999</v>
      </c>
      <c r="BN154" s="233">
        <v>0</v>
      </c>
      <c r="BO154" s="233">
        <v>11.267300000000001</v>
      </c>
      <c r="BP154" s="233">
        <v>674.82573000000002</v>
      </c>
      <c r="BQ154" s="233">
        <v>1126.0880099999999</v>
      </c>
      <c r="BR154" s="233">
        <v>0</v>
      </c>
      <c r="BS154" s="233">
        <v>0</v>
      </c>
      <c r="BT154" s="233">
        <v>0</v>
      </c>
      <c r="BU154" s="233">
        <v>0</v>
      </c>
      <c r="BV154" s="233">
        <v>0</v>
      </c>
      <c r="BW154" s="233">
        <v>0</v>
      </c>
      <c r="BX154" s="233">
        <v>0</v>
      </c>
      <c r="BY154" s="234">
        <v>0</v>
      </c>
      <c r="BZ154" s="236" t="s">
        <v>109</v>
      </c>
      <c r="CA154" s="236" t="s">
        <v>109</v>
      </c>
      <c r="CB154" s="236">
        <v>2023</v>
      </c>
      <c r="CC154" s="233">
        <v>0</v>
      </c>
      <c r="CD154" s="233">
        <v>0</v>
      </c>
      <c r="CE154" s="233">
        <v>0</v>
      </c>
      <c r="CF154" s="233">
        <v>1812.1810399999999</v>
      </c>
      <c r="CG154" s="233">
        <v>0</v>
      </c>
      <c r="CH154" s="233">
        <v>0</v>
      </c>
      <c r="CI154" s="233">
        <v>0</v>
      </c>
      <c r="CJ154" s="237">
        <v>0</v>
      </c>
      <c r="CK154" s="177" t="s">
        <v>128</v>
      </c>
      <c r="CL154" s="177" t="s">
        <v>128</v>
      </c>
      <c r="CM154" s="155" t="s">
        <v>109</v>
      </c>
      <c r="CN154" s="229">
        <v>0</v>
      </c>
      <c r="CO154" s="229">
        <v>1</v>
      </c>
      <c r="CR154" s="248"/>
    </row>
    <row r="155" spans="1:96" ht="28.8" x14ac:dyDescent="0.3">
      <c r="A155">
        <v>152</v>
      </c>
      <c r="B155" s="173" t="s">
        <v>1238</v>
      </c>
      <c r="C155" s="259"/>
      <c r="D155" s="260"/>
      <c r="E155" t="s">
        <v>329</v>
      </c>
      <c r="F155" t="s">
        <v>1239</v>
      </c>
      <c r="G155" s="177" t="s">
        <v>1080</v>
      </c>
      <c r="H155" s="177" t="s">
        <v>113</v>
      </c>
      <c r="I155" s="177" t="s">
        <v>112</v>
      </c>
      <c r="J155" s="177" t="s">
        <v>109</v>
      </c>
      <c r="K155" s="177" t="s">
        <v>1073</v>
      </c>
      <c r="L155" s="177" t="s">
        <v>1074</v>
      </c>
      <c r="M155" s="177" t="s">
        <v>109</v>
      </c>
      <c r="N155" s="177" t="s">
        <v>109</v>
      </c>
      <c r="O155" s="180">
        <v>45784</v>
      </c>
      <c r="P155" s="177" t="s">
        <v>109</v>
      </c>
      <c r="Q155" s="177" t="s">
        <v>109</v>
      </c>
      <c r="R155" s="177" t="s">
        <v>109</v>
      </c>
      <c r="S155" s="177" t="s">
        <v>109</v>
      </c>
      <c r="T155" s="177" t="s">
        <v>116</v>
      </c>
      <c r="U155" s="177" t="s">
        <v>117</v>
      </c>
      <c r="V155" s="177" t="b">
        <v>0</v>
      </c>
      <c r="W155" s="177" t="s">
        <v>109</v>
      </c>
      <c r="X155" s="261"/>
      <c r="Y155" s="177" t="s">
        <v>109</v>
      </c>
      <c r="Z155" s="176">
        <v>0.7</v>
      </c>
      <c r="AA155" s="177" t="s">
        <v>1240</v>
      </c>
      <c r="AB155" s="177" t="s">
        <v>373</v>
      </c>
      <c r="AC155" s="177">
        <v>4.3</v>
      </c>
      <c r="AD155" s="177" t="s">
        <v>1241</v>
      </c>
      <c r="AE155" s="177" t="s">
        <v>1230</v>
      </c>
      <c r="AF155" s="177">
        <v>1</v>
      </c>
      <c r="AG155" s="177">
        <v>16126</v>
      </c>
      <c r="AH155" s="177" t="s">
        <v>121</v>
      </c>
      <c r="AI155" s="177" t="b">
        <v>1</v>
      </c>
      <c r="AJ155" s="180">
        <v>44537</v>
      </c>
      <c r="AK155" s="177" t="s">
        <v>122</v>
      </c>
      <c r="AL155" s="177" t="s">
        <v>109</v>
      </c>
      <c r="AM155" s="177" t="s">
        <v>109</v>
      </c>
      <c r="AN155" s="177" t="b">
        <v>0</v>
      </c>
      <c r="AO155" s="177" t="s">
        <v>109</v>
      </c>
      <c r="AP155" s="177" t="s">
        <v>109</v>
      </c>
      <c r="AQ155" s="177" t="s">
        <v>118</v>
      </c>
      <c r="AR155" s="177" t="b">
        <v>0</v>
      </c>
      <c r="AS155" s="177" t="s">
        <v>123</v>
      </c>
      <c r="AT155" s="180" t="s">
        <v>123</v>
      </c>
      <c r="AU155" s="177" t="s">
        <v>124</v>
      </c>
      <c r="AV155" s="177" t="s">
        <v>109</v>
      </c>
      <c r="AW155" s="177" t="s">
        <v>109</v>
      </c>
      <c r="AX155" s="177" t="s">
        <v>109</v>
      </c>
      <c r="AY155" s="177" t="s">
        <v>135</v>
      </c>
      <c r="AZ155" s="177" t="s">
        <v>109</v>
      </c>
      <c r="BA155" s="177" t="s">
        <v>125</v>
      </c>
      <c r="BB155" s="177" t="s">
        <v>109</v>
      </c>
      <c r="BC155" s="177" t="s">
        <v>126</v>
      </c>
      <c r="BD155" s="177" t="s">
        <v>109</v>
      </c>
      <c r="BE155" s="180" t="s">
        <v>1194</v>
      </c>
      <c r="BF155" s="180" t="s">
        <v>1242</v>
      </c>
      <c r="BG155" s="180" t="s">
        <v>1243</v>
      </c>
      <c r="BH155" s="177" t="s">
        <v>109</v>
      </c>
      <c r="BI155" s="177" t="s">
        <v>109</v>
      </c>
      <c r="BJ155" s="177" t="b">
        <v>0</v>
      </c>
      <c r="BK155" s="233">
        <v>971.70731999999998</v>
      </c>
      <c r="BL155" s="234" t="s">
        <v>128</v>
      </c>
      <c r="BM155" s="233">
        <v>1351.71756</v>
      </c>
      <c r="BN155" s="233">
        <v>0</v>
      </c>
      <c r="BO155" s="233">
        <v>0</v>
      </c>
      <c r="BP155" s="233">
        <v>65.183710000000005</v>
      </c>
      <c r="BQ155" s="233">
        <v>1254.2795699999999</v>
      </c>
      <c r="BR155" s="233">
        <v>32.254280000000001</v>
      </c>
      <c r="BS155" s="233">
        <v>0</v>
      </c>
      <c r="BT155" s="233">
        <v>0</v>
      </c>
      <c r="BU155" s="233">
        <v>0</v>
      </c>
      <c r="BV155" s="233">
        <v>0</v>
      </c>
      <c r="BW155" s="233">
        <v>0</v>
      </c>
      <c r="BX155" s="233">
        <v>0</v>
      </c>
      <c r="BY155" s="234">
        <v>0</v>
      </c>
      <c r="BZ155" s="236" t="s">
        <v>109</v>
      </c>
      <c r="CA155" s="236" t="s">
        <v>109</v>
      </c>
      <c r="CB155" s="236">
        <v>2024</v>
      </c>
      <c r="CC155" s="233">
        <v>0</v>
      </c>
      <c r="CD155" s="233">
        <v>0</v>
      </c>
      <c r="CE155" s="233">
        <v>0</v>
      </c>
      <c r="CF155" s="233">
        <v>0</v>
      </c>
      <c r="CG155" s="233">
        <v>1351.71756</v>
      </c>
      <c r="CH155" s="233">
        <v>0</v>
      </c>
      <c r="CI155" s="233">
        <v>0</v>
      </c>
      <c r="CJ155" s="237">
        <v>0.01</v>
      </c>
      <c r="CK155" s="177" t="s">
        <v>1244</v>
      </c>
      <c r="CL155" s="177" t="s">
        <v>128</v>
      </c>
      <c r="CM155" s="155" t="s">
        <v>109</v>
      </c>
      <c r="CN155" s="229">
        <v>0</v>
      </c>
      <c r="CO155" s="229">
        <v>1</v>
      </c>
      <c r="CP155" s="138" t="s">
        <v>1245</v>
      </c>
      <c r="CR155" s="248"/>
    </row>
    <row r="156" spans="1:96" ht="72" x14ac:dyDescent="0.3">
      <c r="A156">
        <v>153</v>
      </c>
      <c r="B156" s="173" t="s">
        <v>1246</v>
      </c>
      <c r="C156" s="259"/>
      <c r="D156" s="260"/>
      <c r="E156" t="s">
        <v>329</v>
      </c>
      <c r="F156" t="s">
        <v>1247</v>
      </c>
      <c r="G156" s="177" t="s">
        <v>1080</v>
      </c>
      <c r="H156" s="177" t="s">
        <v>146</v>
      </c>
      <c r="I156" s="177" t="s">
        <v>146</v>
      </c>
      <c r="J156" s="177" t="s">
        <v>109</v>
      </c>
      <c r="K156" s="177" t="s">
        <v>1073</v>
      </c>
      <c r="L156" s="177" t="s">
        <v>1074</v>
      </c>
      <c r="M156" s="177" t="s">
        <v>109</v>
      </c>
      <c r="N156" s="177" t="s">
        <v>109</v>
      </c>
      <c r="O156" s="180">
        <v>45778</v>
      </c>
      <c r="P156" s="177" t="s">
        <v>109</v>
      </c>
      <c r="Q156" s="177" t="s">
        <v>109</v>
      </c>
      <c r="R156" s="177" t="s">
        <v>109</v>
      </c>
      <c r="S156" s="177" t="s">
        <v>109</v>
      </c>
      <c r="T156" s="177" t="s">
        <v>116</v>
      </c>
      <c r="U156" s="177" t="s">
        <v>117</v>
      </c>
      <c r="V156" s="177" t="b">
        <v>0</v>
      </c>
      <c r="W156" s="177" t="s">
        <v>109</v>
      </c>
      <c r="X156" s="261"/>
      <c r="Y156" s="177" t="s">
        <v>109</v>
      </c>
      <c r="Z156" s="176">
        <v>0.35</v>
      </c>
      <c r="AA156" s="177" t="s">
        <v>109</v>
      </c>
      <c r="AB156" s="177" t="s">
        <v>109</v>
      </c>
      <c r="AC156" s="177">
        <v>4.3</v>
      </c>
      <c r="AD156" s="177" t="s">
        <v>1248</v>
      </c>
      <c r="AE156" s="177" t="s">
        <v>1230</v>
      </c>
      <c r="AF156" s="177">
        <v>1</v>
      </c>
      <c r="AG156" s="177">
        <v>16126</v>
      </c>
      <c r="AH156" s="177" t="s">
        <v>121</v>
      </c>
      <c r="AI156" s="177" t="b">
        <v>1</v>
      </c>
      <c r="AJ156" s="180">
        <v>44295</v>
      </c>
      <c r="AK156" s="177" t="s">
        <v>122</v>
      </c>
      <c r="AL156" s="177" t="s">
        <v>109</v>
      </c>
      <c r="AM156" s="177" t="s">
        <v>109</v>
      </c>
      <c r="AN156" s="177" t="b">
        <v>0</v>
      </c>
      <c r="AO156" s="177" t="s">
        <v>109</v>
      </c>
      <c r="AP156" s="177" t="s">
        <v>109</v>
      </c>
      <c r="AQ156" s="177" t="s">
        <v>118</v>
      </c>
      <c r="AR156" s="177" t="b">
        <v>0</v>
      </c>
      <c r="AS156" s="177" t="s">
        <v>123</v>
      </c>
      <c r="AT156" s="180" t="s">
        <v>123</v>
      </c>
      <c r="AU156" s="177" t="s">
        <v>124</v>
      </c>
      <c r="AV156" s="177" t="s">
        <v>109</v>
      </c>
      <c r="AW156" s="177" t="s">
        <v>109</v>
      </c>
      <c r="AX156" s="177" t="s">
        <v>109</v>
      </c>
      <c r="AY156" s="177" t="s">
        <v>135</v>
      </c>
      <c r="AZ156" s="177" t="s">
        <v>109</v>
      </c>
      <c r="BA156" s="177" t="s">
        <v>125</v>
      </c>
      <c r="BB156" s="177" t="s">
        <v>109</v>
      </c>
      <c r="BC156" s="177" t="s">
        <v>126</v>
      </c>
      <c r="BD156" s="177" t="s">
        <v>109</v>
      </c>
      <c r="BE156" s="180" t="s">
        <v>1249</v>
      </c>
      <c r="BF156" s="180" t="s">
        <v>1121</v>
      </c>
      <c r="BG156" s="180" t="s">
        <v>1250</v>
      </c>
      <c r="BH156" s="177" t="s">
        <v>138</v>
      </c>
      <c r="BI156" s="177" t="s">
        <v>109</v>
      </c>
      <c r="BJ156" s="177" t="b">
        <v>0</v>
      </c>
      <c r="BK156" s="233">
        <v>878.47046</v>
      </c>
      <c r="BL156" s="234" t="s">
        <v>128</v>
      </c>
      <c r="BM156" s="233">
        <v>1441.9029499999999</v>
      </c>
      <c r="BN156" s="233">
        <v>0</v>
      </c>
      <c r="BO156" s="233">
        <v>128.89448999999999</v>
      </c>
      <c r="BP156" s="233">
        <v>1254.4041299999999</v>
      </c>
      <c r="BQ156" s="233">
        <v>50.132959999999997</v>
      </c>
      <c r="BR156" s="233">
        <v>8.4713700000000003</v>
      </c>
      <c r="BS156" s="233">
        <v>0</v>
      </c>
      <c r="BT156" s="233">
        <v>0</v>
      </c>
      <c r="BU156" s="233">
        <v>0</v>
      </c>
      <c r="BV156" s="233">
        <v>0</v>
      </c>
      <c r="BW156" s="233">
        <v>0</v>
      </c>
      <c r="BX156" s="233">
        <v>0</v>
      </c>
      <c r="BY156" s="234">
        <v>0</v>
      </c>
      <c r="BZ156" s="236" t="s">
        <v>109</v>
      </c>
      <c r="CA156" s="236" t="s">
        <v>109</v>
      </c>
      <c r="CB156" s="236" t="s">
        <v>174</v>
      </c>
      <c r="CC156" s="233">
        <v>0</v>
      </c>
      <c r="CD156" s="233">
        <v>0</v>
      </c>
      <c r="CE156" s="233">
        <v>0</v>
      </c>
      <c r="CF156" s="233">
        <v>1433.4315799999999</v>
      </c>
      <c r="CG156" s="233">
        <v>8.4713700000000003</v>
      </c>
      <c r="CH156" s="233">
        <v>0</v>
      </c>
      <c r="CI156" s="233">
        <v>0</v>
      </c>
      <c r="CJ156" s="237">
        <v>0</v>
      </c>
      <c r="CK156" s="177" t="s">
        <v>128</v>
      </c>
      <c r="CL156" s="177" t="s">
        <v>128</v>
      </c>
      <c r="CM156" s="155" t="s">
        <v>109</v>
      </c>
      <c r="CN156" s="229">
        <v>0</v>
      </c>
      <c r="CO156" s="229">
        <v>0</v>
      </c>
      <c r="CP156" s="138" t="s">
        <v>1251</v>
      </c>
      <c r="CR156" s="248"/>
    </row>
    <row r="157" spans="1:96" ht="43.2" x14ac:dyDescent="0.3">
      <c r="A157">
        <v>154</v>
      </c>
      <c r="B157" s="173" t="s">
        <v>1252</v>
      </c>
      <c r="C157" s="259"/>
      <c r="D157" s="260"/>
      <c r="E157" t="s">
        <v>1253</v>
      </c>
      <c r="F157" t="s">
        <v>1254</v>
      </c>
      <c r="G157" s="177" t="s">
        <v>1080</v>
      </c>
      <c r="H157" s="177" t="s">
        <v>146</v>
      </c>
      <c r="I157" s="177" t="s">
        <v>113</v>
      </c>
      <c r="J157" s="177" t="s">
        <v>109</v>
      </c>
      <c r="K157" s="177" t="s">
        <v>1073</v>
      </c>
      <c r="L157" s="177" t="s">
        <v>1074</v>
      </c>
      <c r="M157" s="177" t="s">
        <v>109</v>
      </c>
      <c r="N157" s="177" t="s">
        <v>109</v>
      </c>
      <c r="O157" s="180">
        <v>45756</v>
      </c>
      <c r="P157" s="177" t="s">
        <v>109</v>
      </c>
      <c r="Q157" s="177" t="s">
        <v>109</v>
      </c>
      <c r="R157" s="177" t="s">
        <v>109</v>
      </c>
      <c r="S157" s="177" t="s">
        <v>109</v>
      </c>
      <c r="T157" s="177" t="s">
        <v>116</v>
      </c>
      <c r="U157" s="177" t="s">
        <v>117</v>
      </c>
      <c r="V157" s="177" t="b">
        <v>0</v>
      </c>
      <c r="W157" s="177" t="s">
        <v>109</v>
      </c>
      <c r="X157" s="261"/>
      <c r="Y157" s="177" t="s">
        <v>109</v>
      </c>
      <c r="Z157" s="176">
        <v>1.59</v>
      </c>
      <c r="AA157" s="177">
        <v>69</v>
      </c>
      <c r="AB157" s="177" t="s">
        <v>148</v>
      </c>
      <c r="AC157" s="177">
        <v>4.3</v>
      </c>
      <c r="AD157" s="177" t="s">
        <v>1255</v>
      </c>
      <c r="AE157" s="177" t="s">
        <v>1230</v>
      </c>
      <c r="AF157" s="177">
        <v>1</v>
      </c>
      <c r="AG157" s="177">
        <v>16126</v>
      </c>
      <c r="AH157" s="177" t="s">
        <v>121</v>
      </c>
      <c r="AI157" s="177" t="b">
        <v>1</v>
      </c>
      <c r="AJ157" s="180" t="s">
        <v>1256</v>
      </c>
      <c r="AK157" s="177" t="s">
        <v>122</v>
      </c>
      <c r="AL157" s="177" t="s">
        <v>109</v>
      </c>
      <c r="AM157" s="177" t="s">
        <v>109</v>
      </c>
      <c r="AN157" s="177" t="b">
        <v>0</v>
      </c>
      <c r="AO157" s="177" t="s">
        <v>109</v>
      </c>
      <c r="AP157" s="177" t="s">
        <v>109</v>
      </c>
      <c r="AQ157" s="177" t="s">
        <v>118</v>
      </c>
      <c r="AR157" s="177" t="b">
        <v>0</v>
      </c>
      <c r="AS157" s="177" t="s">
        <v>123</v>
      </c>
      <c r="AT157" s="180" t="s">
        <v>123</v>
      </c>
      <c r="AU157" s="177" t="s">
        <v>124</v>
      </c>
      <c r="AV157" s="177" t="s">
        <v>109</v>
      </c>
      <c r="AW157" s="177" t="s">
        <v>109</v>
      </c>
      <c r="AX157" s="177" t="s">
        <v>109</v>
      </c>
      <c r="AY157" s="177" t="s">
        <v>135</v>
      </c>
      <c r="AZ157" s="177" t="s">
        <v>109</v>
      </c>
      <c r="BA157" s="177" t="s">
        <v>125</v>
      </c>
      <c r="BB157" s="177" t="s">
        <v>109</v>
      </c>
      <c r="BC157" s="177" t="s">
        <v>126</v>
      </c>
      <c r="BD157" s="177" t="s">
        <v>109</v>
      </c>
      <c r="BE157" s="180" t="s">
        <v>1257</v>
      </c>
      <c r="BF157" s="180" t="s">
        <v>137</v>
      </c>
      <c r="BG157" s="180" t="s">
        <v>1258</v>
      </c>
      <c r="BH157" s="177" t="s">
        <v>109</v>
      </c>
      <c r="BI157" s="177" t="s">
        <v>109</v>
      </c>
      <c r="BJ157" s="177" t="b">
        <v>0</v>
      </c>
      <c r="BK157" s="233">
        <v>2189.4405900000002</v>
      </c>
      <c r="BL157" s="234" t="s">
        <v>128</v>
      </c>
      <c r="BM157" s="233">
        <v>1564.0222000000001</v>
      </c>
      <c r="BN157" s="233">
        <v>0</v>
      </c>
      <c r="BO157" s="233">
        <v>73.284719999999993</v>
      </c>
      <c r="BP157" s="233">
        <v>293.36928999999998</v>
      </c>
      <c r="BQ157" s="233">
        <v>970.61944000000005</v>
      </c>
      <c r="BR157" s="233">
        <v>226.74875</v>
      </c>
      <c r="BS157" s="233">
        <v>0</v>
      </c>
      <c r="BT157" s="233">
        <v>0</v>
      </c>
      <c r="BU157" s="233">
        <v>0</v>
      </c>
      <c r="BV157" s="233">
        <v>0</v>
      </c>
      <c r="BW157" s="233">
        <v>0</v>
      </c>
      <c r="BX157" s="233">
        <v>0</v>
      </c>
      <c r="BY157" s="234">
        <v>0</v>
      </c>
      <c r="BZ157" s="236" t="s">
        <v>109</v>
      </c>
      <c r="CA157" s="236" t="s">
        <v>109</v>
      </c>
      <c r="CB157" s="236">
        <v>2024</v>
      </c>
      <c r="CC157" s="233">
        <v>0</v>
      </c>
      <c r="CD157" s="233">
        <v>0</v>
      </c>
      <c r="CE157" s="233">
        <v>0</v>
      </c>
      <c r="CF157" s="233">
        <v>0</v>
      </c>
      <c r="CG157" s="233">
        <v>1564.0222000000001</v>
      </c>
      <c r="CH157" s="233">
        <v>0</v>
      </c>
      <c r="CI157" s="233">
        <v>0</v>
      </c>
      <c r="CJ157" s="237">
        <v>0</v>
      </c>
      <c r="CK157" s="177" t="s">
        <v>128</v>
      </c>
      <c r="CL157" s="177" t="s">
        <v>128</v>
      </c>
      <c r="CM157" s="155" t="s">
        <v>109</v>
      </c>
      <c r="CN157" s="229">
        <v>0</v>
      </c>
      <c r="CO157" s="229">
        <v>1</v>
      </c>
      <c r="CP157" s="138" t="s">
        <v>1259</v>
      </c>
      <c r="CR157" s="248"/>
    </row>
    <row r="158" spans="1:96" ht="14.4" x14ac:dyDescent="0.3">
      <c r="A158">
        <v>155</v>
      </c>
      <c r="B158" s="173" t="s">
        <v>1260</v>
      </c>
      <c r="C158" s="259"/>
      <c r="D158" s="260"/>
      <c r="E158" t="s">
        <v>191</v>
      </c>
      <c r="F158" t="s">
        <v>1261</v>
      </c>
      <c r="G158" s="177" t="s">
        <v>111</v>
      </c>
      <c r="H158" s="177" t="s">
        <v>240</v>
      </c>
      <c r="I158" s="177" t="s">
        <v>109</v>
      </c>
      <c r="J158" s="177" t="s">
        <v>109</v>
      </c>
      <c r="K158" s="177" t="s">
        <v>1073</v>
      </c>
      <c r="L158" s="177" t="s">
        <v>1074</v>
      </c>
      <c r="M158" s="177" t="s">
        <v>109</v>
      </c>
      <c r="N158" s="177" t="s">
        <v>109</v>
      </c>
      <c r="O158" s="180" t="s">
        <v>109</v>
      </c>
      <c r="P158" s="177" t="s">
        <v>109</v>
      </c>
      <c r="Q158" s="177" t="s">
        <v>109</v>
      </c>
      <c r="R158" s="177" t="s">
        <v>109</v>
      </c>
      <c r="S158" s="177" t="s">
        <v>109</v>
      </c>
      <c r="T158" s="177" t="s">
        <v>116</v>
      </c>
      <c r="U158" s="177" t="s">
        <v>117</v>
      </c>
      <c r="V158" s="177" t="b">
        <v>0</v>
      </c>
      <c r="W158" s="177" t="s">
        <v>109</v>
      </c>
      <c r="X158" s="261"/>
      <c r="Y158" s="177" t="s">
        <v>109</v>
      </c>
      <c r="Z158" s="177" t="s">
        <v>118</v>
      </c>
      <c r="AA158" s="177" t="s">
        <v>109</v>
      </c>
      <c r="AB158" s="177" t="s">
        <v>109</v>
      </c>
      <c r="AC158" s="177">
        <v>4.3</v>
      </c>
      <c r="AD158" s="177" t="s">
        <v>109</v>
      </c>
      <c r="AE158" s="177" t="s">
        <v>1230</v>
      </c>
      <c r="AF158" s="177">
        <v>1</v>
      </c>
      <c r="AG158" s="177">
        <v>16126</v>
      </c>
      <c r="AH158" s="177" t="s">
        <v>121</v>
      </c>
      <c r="AI158" s="177" t="b">
        <v>1</v>
      </c>
      <c r="AJ158" s="180">
        <v>43672</v>
      </c>
      <c r="AK158" s="177" t="s">
        <v>122</v>
      </c>
      <c r="AL158" s="177" t="s">
        <v>109</v>
      </c>
      <c r="AM158" s="177" t="s">
        <v>109</v>
      </c>
      <c r="AN158" s="177" t="b">
        <v>0</v>
      </c>
      <c r="AO158" s="177" t="s">
        <v>109</v>
      </c>
      <c r="AP158" s="177" t="s">
        <v>109</v>
      </c>
      <c r="AQ158" s="177" t="s">
        <v>118</v>
      </c>
      <c r="AR158" s="177" t="b">
        <v>0</v>
      </c>
      <c r="AS158" s="177" t="s">
        <v>123</v>
      </c>
      <c r="AT158" s="180" t="s">
        <v>123</v>
      </c>
      <c r="AU158" s="177" t="s">
        <v>124</v>
      </c>
      <c r="AV158" s="177" t="s">
        <v>109</v>
      </c>
      <c r="AW158" s="177" t="s">
        <v>109</v>
      </c>
      <c r="AX158" s="177" t="s">
        <v>109</v>
      </c>
      <c r="AY158" s="177" t="s">
        <v>135</v>
      </c>
      <c r="AZ158" s="177" t="s">
        <v>109</v>
      </c>
      <c r="BA158" s="177" t="s">
        <v>109</v>
      </c>
      <c r="BB158" s="177" t="s">
        <v>109</v>
      </c>
      <c r="BC158" s="177" t="s">
        <v>980</v>
      </c>
      <c r="BD158" s="177" t="s">
        <v>109</v>
      </c>
      <c r="BE158" s="180" t="s">
        <v>109</v>
      </c>
      <c r="BF158" s="180" t="s">
        <v>127</v>
      </c>
      <c r="BG158" s="180">
        <v>44196</v>
      </c>
      <c r="BH158" s="177" t="s">
        <v>109</v>
      </c>
      <c r="BI158" s="177" t="s">
        <v>109</v>
      </c>
      <c r="BJ158" s="177" t="b">
        <v>0</v>
      </c>
      <c r="BK158" s="233">
        <v>1511.38149</v>
      </c>
      <c r="BL158" s="234" t="s">
        <v>128</v>
      </c>
      <c r="BM158" s="233">
        <v>1866.84079</v>
      </c>
      <c r="BN158" s="233">
        <v>1329.43553</v>
      </c>
      <c r="BO158" s="233">
        <v>269.10685000000001</v>
      </c>
      <c r="BP158" s="233">
        <v>68.10378</v>
      </c>
      <c r="BQ158" s="233">
        <v>25.263079999999999</v>
      </c>
      <c r="BR158" s="233">
        <v>0</v>
      </c>
      <c r="BS158" s="233">
        <v>0</v>
      </c>
      <c r="BT158" s="233">
        <v>0</v>
      </c>
      <c r="BU158" s="233">
        <v>0</v>
      </c>
      <c r="BV158" s="233">
        <v>0</v>
      </c>
      <c r="BW158" s="233">
        <v>0</v>
      </c>
      <c r="BX158" s="233">
        <v>0</v>
      </c>
      <c r="BY158" s="234">
        <v>0</v>
      </c>
      <c r="BZ158" s="236" t="s">
        <v>109</v>
      </c>
      <c r="CA158" s="236" t="s">
        <v>109</v>
      </c>
      <c r="CB158" s="236" t="s">
        <v>807</v>
      </c>
      <c r="CC158" s="233">
        <v>1504.36708</v>
      </c>
      <c r="CD158" s="233">
        <v>269.10685000000001</v>
      </c>
      <c r="CE158" s="233">
        <v>68.10378</v>
      </c>
      <c r="CF158" s="233">
        <v>25.263079999999999</v>
      </c>
      <c r="CG158" s="233">
        <v>0</v>
      </c>
      <c r="CH158" s="233">
        <v>0</v>
      </c>
      <c r="CI158" s="233">
        <v>0</v>
      </c>
      <c r="CJ158" s="237">
        <v>0</v>
      </c>
      <c r="CK158" s="177" t="s">
        <v>128</v>
      </c>
      <c r="CL158" s="177" t="s">
        <v>128</v>
      </c>
      <c r="CM158" s="155" t="s">
        <v>109</v>
      </c>
      <c r="CN158" s="229">
        <v>0</v>
      </c>
      <c r="CO158" s="229">
        <v>0</v>
      </c>
      <c r="CP158" t="s">
        <v>1262</v>
      </c>
      <c r="CR158" s="248"/>
    </row>
    <row r="159" spans="1:96" ht="14.4" x14ac:dyDescent="0.3">
      <c r="A159">
        <v>156</v>
      </c>
      <c r="B159" s="173" t="s">
        <v>1263</v>
      </c>
      <c r="C159" s="259"/>
      <c r="D159" s="260"/>
      <c r="E159" t="s">
        <v>659</v>
      </c>
      <c r="F159" t="s">
        <v>1264</v>
      </c>
      <c r="G159" s="177" t="s">
        <v>1080</v>
      </c>
      <c r="H159" s="177" t="s">
        <v>112</v>
      </c>
      <c r="I159" s="177" t="s">
        <v>112</v>
      </c>
      <c r="J159" s="177" t="s">
        <v>109</v>
      </c>
      <c r="K159" s="177" t="s">
        <v>1073</v>
      </c>
      <c r="L159" s="177" t="s">
        <v>1074</v>
      </c>
      <c r="M159" s="177" t="s">
        <v>109</v>
      </c>
      <c r="N159" s="177" t="s">
        <v>109</v>
      </c>
      <c r="O159" s="180">
        <v>45775</v>
      </c>
      <c r="P159" s="177" t="s">
        <v>109</v>
      </c>
      <c r="Q159" s="177" t="s">
        <v>109</v>
      </c>
      <c r="R159" s="177" t="s">
        <v>109</v>
      </c>
      <c r="S159" s="177" t="s">
        <v>109</v>
      </c>
      <c r="T159" s="177" t="s">
        <v>116</v>
      </c>
      <c r="U159" s="177" t="s">
        <v>117</v>
      </c>
      <c r="V159" s="177" t="b">
        <v>0</v>
      </c>
      <c r="W159" s="177" t="s">
        <v>109</v>
      </c>
      <c r="X159" s="261"/>
      <c r="Y159" s="177" t="s">
        <v>118</v>
      </c>
      <c r="Z159" s="176" t="s">
        <v>1265</v>
      </c>
      <c r="AA159" s="177" t="s">
        <v>1266</v>
      </c>
      <c r="AB159" s="177" t="s">
        <v>1267</v>
      </c>
      <c r="AC159" s="177">
        <v>4.3</v>
      </c>
      <c r="AD159" s="177" t="s">
        <v>1241</v>
      </c>
      <c r="AE159" s="177" t="s">
        <v>1230</v>
      </c>
      <c r="AF159" s="177">
        <v>1</v>
      </c>
      <c r="AG159" s="177">
        <v>16126</v>
      </c>
      <c r="AH159" s="177" t="s">
        <v>121</v>
      </c>
      <c r="AI159" s="177" t="b">
        <v>1</v>
      </c>
      <c r="AJ159" s="180">
        <v>45140</v>
      </c>
      <c r="AK159" s="177" t="s">
        <v>122</v>
      </c>
      <c r="AL159" s="177">
        <v>2023</v>
      </c>
      <c r="AM159" s="177" t="s">
        <v>109</v>
      </c>
      <c r="AN159" s="179" t="b">
        <v>0</v>
      </c>
      <c r="AO159" s="177" t="s">
        <v>109</v>
      </c>
      <c r="AP159" s="177" t="s">
        <v>109</v>
      </c>
      <c r="AQ159" s="177" t="s">
        <v>109</v>
      </c>
      <c r="AR159" s="177" t="b">
        <v>0</v>
      </c>
      <c r="AS159" s="177" t="s">
        <v>123</v>
      </c>
      <c r="AT159" s="180" t="s">
        <v>109</v>
      </c>
      <c r="AU159" s="177" t="s">
        <v>124</v>
      </c>
      <c r="AV159" s="177" t="s">
        <v>109</v>
      </c>
      <c r="AW159" s="177" t="s">
        <v>195</v>
      </c>
      <c r="AX159" s="177" t="s">
        <v>109</v>
      </c>
      <c r="AY159" s="177" t="s">
        <v>135</v>
      </c>
      <c r="AZ159" s="177" t="s">
        <v>109</v>
      </c>
      <c r="BA159" s="177" t="s">
        <v>125</v>
      </c>
      <c r="BB159" s="177" t="s">
        <v>109</v>
      </c>
      <c r="BC159" s="177" t="s">
        <v>126</v>
      </c>
      <c r="BD159" s="177" t="s">
        <v>109</v>
      </c>
      <c r="BE159" s="181" t="s">
        <v>1268</v>
      </c>
      <c r="BF159" s="180" t="s">
        <v>1269</v>
      </c>
      <c r="BG159" s="180" t="s">
        <v>1270</v>
      </c>
      <c r="BH159" s="177" t="s">
        <v>109</v>
      </c>
      <c r="BI159" s="177" t="s">
        <v>109</v>
      </c>
      <c r="BJ159" s="177" t="b">
        <v>1</v>
      </c>
      <c r="BK159" s="233">
        <v>911.42471999999998</v>
      </c>
      <c r="BL159" s="234" t="s">
        <v>1271</v>
      </c>
      <c r="BM159" s="236">
        <v>1404.50731517696</v>
      </c>
      <c r="BN159" s="236">
        <v>0</v>
      </c>
      <c r="BO159" s="236">
        <v>0</v>
      </c>
      <c r="BP159" s="236">
        <v>0</v>
      </c>
      <c r="BQ159" s="236">
        <v>29.01586</v>
      </c>
      <c r="BR159" s="236">
        <v>908.43236000000002</v>
      </c>
      <c r="BS159" s="236">
        <v>461.94231000000002</v>
      </c>
      <c r="BT159" s="236">
        <v>5.1167851999999803</v>
      </c>
      <c r="BU159" s="236">
        <v>0</v>
      </c>
      <c r="BV159" s="236">
        <v>0</v>
      </c>
      <c r="BW159" s="236">
        <v>0</v>
      </c>
      <c r="BX159" s="236">
        <v>0</v>
      </c>
      <c r="BY159" s="234">
        <v>1399</v>
      </c>
      <c r="BZ159" s="236" t="s">
        <v>109</v>
      </c>
      <c r="CA159" s="236" t="s">
        <v>109</v>
      </c>
      <c r="CB159" s="236">
        <v>2025</v>
      </c>
      <c r="CC159" s="236">
        <v>0</v>
      </c>
      <c r="CD159" s="236">
        <v>0</v>
      </c>
      <c r="CE159" s="236">
        <v>0</v>
      </c>
      <c r="CF159" s="236">
        <v>0</v>
      </c>
      <c r="CG159" s="236">
        <v>0</v>
      </c>
      <c r="CH159" s="236">
        <v>0</v>
      </c>
      <c r="CI159" s="236">
        <v>1404.5073152</v>
      </c>
      <c r="CJ159" s="237">
        <v>1</v>
      </c>
      <c r="CK159" s="177" t="s">
        <v>1272</v>
      </c>
      <c r="CL159" s="177" t="s">
        <v>128</v>
      </c>
      <c r="CM159" s="155" t="s">
        <v>109</v>
      </c>
      <c r="CN159" s="229">
        <v>0</v>
      </c>
      <c r="CO159" s="229">
        <v>1</v>
      </c>
      <c r="CP159" t="s">
        <v>155</v>
      </c>
      <c r="CR159" s="248"/>
    </row>
    <row r="160" spans="1:96" ht="14.4" x14ac:dyDescent="0.3">
      <c r="A160">
        <v>157</v>
      </c>
      <c r="B160" s="173" t="s">
        <v>1273</v>
      </c>
      <c r="C160" s="259"/>
      <c r="D160" s="260"/>
      <c r="E160" t="s">
        <v>1274</v>
      </c>
      <c r="F160" t="s">
        <v>1275</v>
      </c>
      <c r="G160" s="177" t="s">
        <v>111</v>
      </c>
      <c r="H160" s="177" t="s">
        <v>113</v>
      </c>
      <c r="I160" s="177" t="s">
        <v>112</v>
      </c>
      <c r="J160" s="177" t="s">
        <v>109</v>
      </c>
      <c r="K160" s="177" t="s">
        <v>1073</v>
      </c>
      <c r="L160" s="177" t="s">
        <v>1074</v>
      </c>
      <c r="M160" s="177" t="s">
        <v>109</v>
      </c>
      <c r="N160" s="177" t="s">
        <v>109</v>
      </c>
      <c r="O160" s="180">
        <v>45751</v>
      </c>
      <c r="P160" s="177" t="s">
        <v>109</v>
      </c>
      <c r="Q160" s="177" t="s">
        <v>109</v>
      </c>
      <c r="R160" s="177" t="s">
        <v>109</v>
      </c>
      <c r="S160" s="177" t="s">
        <v>109</v>
      </c>
      <c r="T160" s="177" t="s">
        <v>116</v>
      </c>
      <c r="U160" s="177" t="s">
        <v>117</v>
      </c>
      <c r="V160" s="177" t="b">
        <v>0</v>
      </c>
      <c r="W160" s="177" t="s">
        <v>109</v>
      </c>
      <c r="X160" s="261"/>
      <c r="Y160" s="177" t="s">
        <v>118</v>
      </c>
      <c r="Z160" s="176" t="s">
        <v>1276</v>
      </c>
      <c r="AA160" s="177" t="s">
        <v>1266</v>
      </c>
      <c r="AB160" s="177" t="s">
        <v>373</v>
      </c>
      <c r="AC160" s="177">
        <v>4.3</v>
      </c>
      <c r="AD160" s="177" t="s">
        <v>1277</v>
      </c>
      <c r="AE160" s="177" t="s">
        <v>109</v>
      </c>
      <c r="AF160" s="177">
        <v>1</v>
      </c>
      <c r="AG160" s="177">
        <v>16126</v>
      </c>
      <c r="AH160" s="177" t="s">
        <v>121</v>
      </c>
      <c r="AI160" s="177" t="b">
        <v>1</v>
      </c>
      <c r="AJ160" s="180">
        <v>45139</v>
      </c>
      <c r="AK160" s="177" t="s">
        <v>122</v>
      </c>
      <c r="AL160" s="177">
        <v>2023</v>
      </c>
      <c r="AM160" s="177" t="s">
        <v>109</v>
      </c>
      <c r="AN160" s="179" t="b">
        <v>0</v>
      </c>
      <c r="AO160" s="177" t="s">
        <v>109</v>
      </c>
      <c r="AP160" s="177" t="s">
        <v>109</v>
      </c>
      <c r="AQ160" s="177" t="s">
        <v>109</v>
      </c>
      <c r="AR160" s="177" t="b">
        <v>0</v>
      </c>
      <c r="AS160" s="177" t="s">
        <v>123</v>
      </c>
      <c r="AT160" s="180" t="s">
        <v>109</v>
      </c>
      <c r="AU160" s="177" t="s">
        <v>124</v>
      </c>
      <c r="AV160" s="177" t="s">
        <v>109</v>
      </c>
      <c r="AW160" s="177" t="s">
        <v>195</v>
      </c>
      <c r="AX160" s="177" t="s">
        <v>109</v>
      </c>
      <c r="AY160" s="177" t="s">
        <v>135</v>
      </c>
      <c r="AZ160" s="177" t="s">
        <v>109</v>
      </c>
      <c r="BA160" s="177" t="s">
        <v>125</v>
      </c>
      <c r="BB160" s="177" t="s">
        <v>109</v>
      </c>
      <c r="BC160" s="177" t="s">
        <v>126</v>
      </c>
      <c r="BD160" s="177" t="s">
        <v>109</v>
      </c>
      <c r="BE160" s="181" t="s">
        <v>1278</v>
      </c>
      <c r="BF160" s="180" t="s">
        <v>889</v>
      </c>
      <c r="BG160" s="180" t="s">
        <v>1279</v>
      </c>
      <c r="BH160" s="177" t="s">
        <v>109</v>
      </c>
      <c r="BI160" s="177" t="s">
        <v>109</v>
      </c>
      <c r="BJ160" s="177" t="b">
        <v>1</v>
      </c>
      <c r="BK160" s="233">
        <v>1335.67119</v>
      </c>
      <c r="BL160" s="234" t="s">
        <v>128</v>
      </c>
      <c r="BM160" s="236">
        <v>1416.8232499999999</v>
      </c>
      <c r="BN160" s="236">
        <v>0</v>
      </c>
      <c r="BO160" s="236">
        <v>0</v>
      </c>
      <c r="BP160" s="236">
        <v>0</v>
      </c>
      <c r="BQ160" s="236">
        <v>15.03612</v>
      </c>
      <c r="BR160" s="236">
        <v>1323.28099</v>
      </c>
      <c r="BS160" s="236">
        <v>78.506140000000002</v>
      </c>
      <c r="BT160" s="236">
        <v>0</v>
      </c>
      <c r="BU160" s="236">
        <v>0</v>
      </c>
      <c r="BV160" s="236">
        <v>0</v>
      </c>
      <c r="BW160" s="236">
        <v>0</v>
      </c>
      <c r="BX160" s="236">
        <v>0</v>
      </c>
      <c r="BY160" s="234">
        <v>0</v>
      </c>
      <c r="BZ160" s="236" t="s">
        <v>109</v>
      </c>
      <c r="CA160" s="236" t="s">
        <v>109</v>
      </c>
      <c r="CB160" s="236">
        <v>2025</v>
      </c>
      <c r="CC160" s="236">
        <v>0</v>
      </c>
      <c r="CD160" s="236">
        <v>0</v>
      </c>
      <c r="CE160" s="236">
        <v>0</v>
      </c>
      <c r="CF160" s="236">
        <v>0</v>
      </c>
      <c r="CG160" s="236">
        <v>0</v>
      </c>
      <c r="CH160" s="236">
        <v>1416.8232499999999</v>
      </c>
      <c r="CI160" s="236">
        <v>0</v>
      </c>
      <c r="CJ160" s="237">
        <v>1</v>
      </c>
      <c r="CK160" s="177" t="s">
        <v>1280</v>
      </c>
      <c r="CL160" s="177" t="s">
        <v>128</v>
      </c>
      <c r="CM160" s="155" t="s">
        <v>109</v>
      </c>
      <c r="CN160" s="229">
        <v>0</v>
      </c>
      <c r="CO160" s="229">
        <v>1</v>
      </c>
      <c r="CP160" t="s">
        <v>155</v>
      </c>
      <c r="CR160" s="248"/>
    </row>
    <row r="161" spans="1:96" ht="14.4" x14ac:dyDescent="0.3">
      <c r="A161">
        <v>158</v>
      </c>
      <c r="B161" s="173" t="s">
        <v>1281</v>
      </c>
      <c r="C161" s="259"/>
      <c r="D161" s="260"/>
      <c r="E161" t="s">
        <v>1282</v>
      </c>
      <c r="F161" t="s">
        <v>1283</v>
      </c>
      <c r="G161" s="177" t="s">
        <v>1080</v>
      </c>
      <c r="H161" s="177" t="s">
        <v>113</v>
      </c>
      <c r="I161" s="177" t="s">
        <v>113</v>
      </c>
      <c r="J161" s="177" t="s">
        <v>109</v>
      </c>
      <c r="K161" s="177" t="s">
        <v>1073</v>
      </c>
      <c r="L161" s="177" t="s">
        <v>1074</v>
      </c>
      <c r="M161" s="177" t="s">
        <v>109</v>
      </c>
      <c r="N161" s="177" t="s">
        <v>109</v>
      </c>
      <c r="O161" s="180">
        <v>45792</v>
      </c>
      <c r="P161" s="177" t="s">
        <v>109</v>
      </c>
      <c r="Q161" s="177" t="s">
        <v>109</v>
      </c>
      <c r="R161" s="177" t="s">
        <v>109</v>
      </c>
      <c r="S161" s="177" t="s">
        <v>109</v>
      </c>
      <c r="T161" s="177" t="s">
        <v>116</v>
      </c>
      <c r="U161" s="177" t="s">
        <v>117</v>
      </c>
      <c r="V161" s="177" t="b">
        <v>0</v>
      </c>
      <c r="W161" s="177" t="s">
        <v>109</v>
      </c>
      <c r="X161" s="261"/>
      <c r="Y161" s="177" t="s">
        <v>118</v>
      </c>
      <c r="Z161" s="176" t="s">
        <v>1284</v>
      </c>
      <c r="AA161" s="177" t="s">
        <v>119</v>
      </c>
      <c r="AB161" s="177" t="s">
        <v>201</v>
      </c>
      <c r="AC161" s="177">
        <v>4.3</v>
      </c>
      <c r="AD161" s="177" t="s">
        <v>1285</v>
      </c>
      <c r="AE161" s="177" t="s">
        <v>1230</v>
      </c>
      <c r="AF161" s="177">
        <v>1</v>
      </c>
      <c r="AG161" s="177">
        <v>16126</v>
      </c>
      <c r="AH161" s="177" t="s">
        <v>121</v>
      </c>
      <c r="AI161" s="177" t="b">
        <v>1</v>
      </c>
      <c r="AJ161" s="180">
        <v>45328</v>
      </c>
      <c r="AK161" s="177" t="s">
        <v>122</v>
      </c>
      <c r="AL161" s="177">
        <v>2024</v>
      </c>
      <c r="AM161" s="177" t="s">
        <v>109</v>
      </c>
      <c r="AN161" s="179" t="b">
        <v>0</v>
      </c>
      <c r="AO161" s="177" t="s">
        <v>109</v>
      </c>
      <c r="AP161" s="177" t="s">
        <v>109</v>
      </c>
      <c r="AQ161" s="177" t="s">
        <v>109</v>
      </c>
      <c r="AR161" s="177" t="b">
        <v>0</v>
      </c>
      <c r="AS161" s="177" t="s">
        <v>123</v>
      </c>
      <c r="AT161" s="180" t="s">
        <v>109</v>
      </c>
      <c r="AU161" s="177" t="s">
        <v>124</v>
      </c>
      <c r="AV161" s="177" t="s">
        <v>109</v>
      </c>
      <c r="AW161" s="177" t="s">
        <v>195</v>
      </c>
      <c r="AX161" s="177" t="s">
        <v>109</v>
      </c>
      <c r="AY161" s="177" t="s">
        <v>135</v>
      </c>
      <c r="AZ161" s="177" t="s">
        <v>109</v>
      </c>
      <c r="BA161" s="177" t="s">
        <v>125</v>
      </c>
      <c r="BB161" s="177" t="s">
        <v>109</v>
      </c>
      <c r="BC161" s="177" t="s">
        <v>126</v>
      </c>
      <c r="BD161" s="177" t="s">
        <v>109</v>
      </c>
      <c r="BE161" s="181" t="s">
        <v>1286</v>
      </c>
      <c r="BF161" s="180" t="s">
        <v>1287</v>
      </c>
      <c r="BG161" s="180" t="s">
        <v>1287</v>
      </c>
      <c r="BH161" s="177" t="s">
        <v>109</v>
      </c>
      <c r="BI161" s="177" t="s">
        <v>109</v>
      </c>
      <c r="BJ161" s="177" t="b">
        <v>1</v>
      </c>
      <c r="BK161" s="233">
        <v>2707.4516100000001</v>
      </c>
      <c r="BL161" s="234" t="s">
        <v>128</v>
      </c>
      <c r="BM161" s="236">
        <v>1301.4250400000001</v>
      </c>
      <c r="BN161" s="236">
        <v>0</v>
      </c>
      <c r="BO161" s="236">
        <v>0</v>
      </c>
      <c r="BP161" s="236">
        <v>0</v>
      </c>
      <c r="BQ161" s="236">
        <v>0</v>
      </c>
      <c r="BR161" s="236">
        <v>1252.7410299999999</v>
      </c>
      <c r="BS161" s="236">
        <v>48.684010000000001</v>
      </c>
      <c r="BT161" s="236">
        <v>0</v>
      </c>
      <c r="BU161" s="236">
        <v>0</v>
      </c>
      <c r="BV161" s="236">
        <v>0</v>
      </c>
      <c r="BW161" s="236">
        <v>0</v>
      </c>
      <c r="BX161" s="236">
        <v>0</v>
      </c>
      <c r="BY161" s="234">
        <v>0</v>
      </c>
      <c r="BZ161" s="236" t="s">
        <v>109</v>
      </c>
      <c r="CA161" s="236" t="s">
        <v>109</v>
      </c>
      <c r="CB161" s="236" t="s">
        <v>196</v>
      </c>
      <c r="CC161" s="236">
        <v>0</v>
      </c>
      <c r="CD161" s="236">
        <v>0</v>
      </c>
      <c r="CE161" s="236">
        <v>0</v>
      </c>
      <c r="CF161" s="236">
        <v>0</v>
      </c>
      <c r="CG161" s="236">
        <v>1252.7410299999999</v>
      </c>
      <c r="CH161" s="236">
        <v>48.684010000000001</v>
      </c>
      <c r="CI161" s="236">
        <v>0</v>
      </c>
      <c r="CJ161" s="237">
        <v>1</v>
      </c>
      <c r="CK161" s="177" t="s">
        <v>1288</v>
      </c>
      <c r="CL161" s="177" t="s">
        <v>128</v>
      </c>
      <c r="CM161" s="155" t="s">
        <v>109</v>
      </c>
      <c r="CN161" s="229">
        <v>0.13550000000000001</v>
      </c>
      <c r="CO161" s="229">
        <v>0.86450000000000005</v>
      </c>
      <c r="CP161" t="s">
        <v>155</v>
      </c>
      <c r="CR161" s="248"/>
    </row>
    <row r="162" spans="1:96" ht="14.4" x14ac:dyDescent="0.3">
      <c r="A162">
        <v>159</v>
      </c>
      <c r="B162" s="173" t="s">
        <v>1289</v>
      </c>
      <c r="C162" s="259"/>
      <c r="D162" s="260"/>
      <c r="E162" t="s">
        <v>329</v>
      </c>
      <c r="F162" t="s">
        <v>1290</v>
      </c>
      <c r="G162" s="177" t="s">
        <v>1080</v>
      </c>
      <c r="H162" s="177" t="s">
        <v>113</v>
      </c>
      <c r="I162" s="177" t="s">
        <v>113</v>
      </c>
      <c r="J162" s="177" t="s">
        <v>109</v>
      </c>
      <c r="K162" s="177" t="s">
        <v>1073</v>
      </c>
      <c r="L162" s="177" t="s">
        <v>1074</v>
      </c>
      <c r="M162" s="177" t="s">
        <v>109</v>
      </c>
      <c r="N162" s="177" t="s">
        <v>109</v>
      </c>
      <c r="O162" s="180">
        <v>45778</v>
      </c>
      <c r="P162" s="177" t="s">
        <v>109</v>
      </c>
      <c r="Q162" s="177" t="s">
        <v>109</v>
      </c>
      <c r="R162" s="177" t="s">
        <v>109</v>
      </c>
      <c r="S162" s="177" t="s">
        <v>109</v>
      </c>
      <c r="T162" s="177" t="s">
        <v>116</v>
      </c>
      <c r="U162" s="177" t="s">
        <v>117</v>
      </c>
      <c r="V162" s="177" t="b">
        <v>0</v>
      </c>
      <c r="W162" s="177" t="s">
        <v>109</v>
      </c>
      <c r="X162" s="261"/>
      <c r="Y162" s="177" t="s">
        <v>118</v>
      </c>
      <c r="Z162" s="176" t="s">
        <v>1291</v>
      </c>
      <c r="AA162" s="177" t="s">
        <v>1266</v>
      </c>
      <c r="AB162" s="177" t="s">
        <v>373</v>
      </c>
      <c r="AC162" s="177">
        <v>4.3</v>
      </c>
      <c r="AD162" s="177" t="s">
        <v>1292</v>
      </c>
      <c r="AE162" s="177" t="s">
        <v>1230</v>
      </c>
      <c r="AF162" s="177">
        <v>1</v>
      </c>
      <c r="AG162" s="177">
        <v>16126</v>
      </c>
      <c r="AH162" s="177" t="s">
        <v>121</v>
      </c>
      <c r="AI162" s="177" t="b">
        <v>1</v>
      </c>
      <c r="AJ162" s="180">
        <v>45140</v>
      </c>
      <c r="AK162" s="177" t="s">
        <v>122</v>
      </c>
      <c r="AL162" s="177">
        <v>2023</v>
      </c>
      <c r="AM162" s="177" t="s">
        <v>109</v>
      </c>
      <c r="AN162" s="179" t="b">
        <v>0</v>
      </c>
      <c r="AO162" s="177" t="s">
        <v>109</v>
      </c>
      <c r="AP162" s="177" t="s">
        <v>109</v>
      </c>
      <c r="AQ162" s="177" t="s">
        <v>109</v>
      </c>
      <c r="AR162" s="177" t="b">
        <v>0</v>
      </c>
      <c r="AS162" s="177" t="s">
        <v>123</v>
      </c>
      <c r="AT162" s="180" t="s">
        <v>109</v>
      </c>
      <c r="AU162" s="177" t="s">
        <v>124</v>
      </c>
      <c r="AV162" s="177" t="s">
        <v>109</v>
      </c>
      <c r="AW162" s="177" t="s">
        <v>195</v>
      </c>
      <c r="AX162" s="177" t="s">
        <v>109</v>
      </c>
      <c r="AY162" s="177" t="s">
        <v>135</v>
      </c>
      <c r="AZ162" s="177" t="s">
        <v>118</v>
      </c>
      <c r="BA162" s="177" t="s">
        <v>125</v>
      </c>
      <c r="BB162" s="177" t="s">
        <v>109</v>
      </c>
      <c r="BC162" s="177" t="s">
        <v>126</v>
      </c>
      <c r="BD162" s="177" t="s">
        <v>109</v>
      </c>
      <c r="BE162" s="181" t="s">
        <v>1268</v>
      </c>
      <c r="BF162" s="180" t="s">
        <v>1293</v>
      </c>
      <c r="BG162" s="180" t="s">
        <v>1293</v>
      </c>
      <c r="BH162" s="177" t="s">
        <v>109</v>
      </c>
      <c r="BI162" s="177" t="s">
        <v>109</v>
      </c>
      <c r="BJ162" s="177" t="b">
        <v>1</v>
      </c>
      <c r="BK162" s="233">
        <v>1083.75271</v>
      </c>
      <c r="BL162" s="234" t="s">
        <v>1271</v>
      </c>
      <c r="BM162" s="236">
        <v>1493.7755500000001</v>
      </c>
      <c r="BN162" s="236">
        <v>0</v>
      </c>
      <c r="BO162" s="236">
        <v>0</v>
      </c>
      <c r="BP162" s="236">
        <v>0</v>
      </c>
      <c r="BQ162" s="236">
        <v>32.731029999999997</v>
      </c>
      <c r="BR162" s="236">
        <v>1431.82763</v>
      </c>
      <c r="BS162" s="236">
        <v>29.216889999999999</v>
      </c>
      <c r="BT162" s="236">
        <v>0</v>
      </c>
      <c r="BU162" s="236">
        <v>0</v>
      </c>
      <c r="BV162" s="236">
        <v>0</v>
      </c>
      <c r="BW162" s="236">
        <v>0</v>
      </c>
      <c r="BX162" s="236">
        <v>0</v>
      </c>
      <c r="BY162" s="234">
        <v>0</v>
      </c>
      <c r="BZ162" s="236" t="s">
        <v>109</v>
      </c>
      <c r="CA162" s="236" t="s">
        <v>109</v>
      </c>
      <c r="CB162" s="236">
        <v>2025</v>
      </c>
      <c r="CC162" s="236">
        <v>0</v>
      </c>
      <c r="CD162" s="236">
        <v>0</v>
      </c>
      <c r="CE162" s="236">
        <v>0</v>
      </c>
      <c r="CF162" s="236">
        <v>0</v>
      </c>
      <c r="CG162" s="236">
        <v>0</v>
      </c>
      <c r="CH162" s="236">
        <v>1493.7755500000001</v>
      </c>
      <c r="CI162" s="236">
        <v>0</v>
      </c>
      <c r="CJ162" s="237">
        <v>1</v>
      </c>
      <c r="CK162" s="177" t="s">
        <v>1294</v>
      </c>
      <c r="CL162" s="177" t="s">
        <v>128</v>
      </c>
      <c r="CM162" s="155" t="s">
        <v>109</v>
      </c>
      <c r="CN162" s="229">
        <v>0</v>
      </c>
      <c r="CO162" s="229">
        <v>1</v>
      </c>
      <c r="CP162" t="s">
        <v>155</v>
      </c>
      <c r="CR162" s="248"/>
    </row>
    <row r="163" spans="1:96" ht="14.4" x14ac:dyDescent="0.3">
      <c r="A163">
        <v>160</v>
      </c>
      <c r="B163" s="173" t="s">
        <v>1295</v>
      </c>
      <c r="C163" s="259"/>
      <c r="D163" s="260"/>
      <c r="E163" t="s">
        <v>329</v>
      </c>
      <c r="F163" t="s">
        <v>1296</v>
      </c>
      <c r="G163" s="177" t="s">
        <v>1080</v>
      </c>
      <c r="H163" s="177" t="s">
        <v>112</v>
      </c>
      <c r="I163" s="177" t="s">
        <v>112</v>
      </c>
      <c r="J163" s="177" t="s">
        <v>109</v>
      </c>
      <c r="K163" s="177" t="s">
        <v>1073</v>
      </c>
      <c r="L163" s="177" t="s">
        <v>1074</v>
      </c>
      <c r="M163" s="177" t="s">
        <v>109</v>
      </c>
      <c r="N163" s="177" t="s">
        <v>109</v>
      </c>
      <c r="O163" s="180">
        <v>45779</v>
      </c>
      <c r="P163" s="177" t="s">
        <v>109</v>
      </c>
      <c r="Q163" s="177" t="s">
        <v>109</v>
      </c>
      <c r="R163" s="177" t="s">
        <v>109</v>
      </c>
      <c r="S163" s="177" t="s">
        <v>109</v>
      </c>
      <c r="T163" s="177" t="s">
        <v>116</v>
      </c>
      <c r="U163" s="177" t="s">
        <v>117</v>
      </c>
      <c r="V163" s="177" t="b">
        <v>0</v>
      </c>
      <c r="W163" s="177" t="s">
        <v>109</v>
      </c>
      <c r="X163" s="261"/>
      <c r="Y163" s="177" t="s">
        <v>118</v>
      </c>
      <c r="Z163" s="176" t="s">
        <v>1297</v>
      </c>
      <c r="AA163" s="177" t="s">
        <v>1266</v>
      </c>
      <c r="AB163" s="177" t="s">
        <v>373</v>
      </c>
      <c r="AC163" s="177">
        <v>4.3</v>
      </c>
      <c r="AD163" s="177" t="s">
        <v>1298</v>
      </c>
      <c r="AE163" s="177" t="s">
        <v>1230</v>
      </c>
      <c r="AF163" s="177">
        <v>1</v>
      </c>
      <c r="AG163" s="177">
        <v>16126</v>
      </c>
      <c r="AH163" s="177" t="s">
        <v>121</v>
      </c>
      <c r="AI163" s="177" t="b">
        <v>1</v>
      </c>
      <c r="AJ163" s="180">
        <v>44398</v>
      </c>
      <c r="AK163" s="177" t="s">
        <v>122</v>
      </c>
      <c r="AL163" s="177">
        <v>2021</v>
      </c>
      <c r="AM163" s="177" t="s">
        <v>109</v>
      </c>
      <c r="AN163" s="179" t="b">
        <v>0</v>
      </c>
      <c r="AO163" s="177" t="s">
        <v>109</v>
      </c>
      <c r="AP163" s="177" t="s">
        <v>109</v>
      </c>
      <c r="AQ163" s="177" t="s">
        <v>109</v>
      </c>
      <c r="AR163" s="177" t="b">
        <v>0</v>
      </c>
      <c r="AS163" s="177" t="s">
        <v>123</v>
      </c>
      <c r="AT163" s="180" t="s">
        <v>109</v>
      </c>
      <c r="AU163" s="177" t="s">
        <v>124</v>
      </c>
      <c r="AV163" s="177" t="s">
        <v>109</v>
      </c>
      <c r="AW163" s="177" t="s">
        <v>195</v>
      </c>
      <c r="AX163" s="177" t="s">
        <v>109</v>
      </c>
      <c r="AY163" s="177" t="s">
        <v>135</v>
      </c>
      <c r="AZ163" s="177" t="s">
        <v>109</v>
      </c>
      <c r="BA163" s="177" t="s">
        <v>125</v>
      </c>
      <c r="BB163" s="177" t="s">
        <v>109</v>
      </c>
      <c r="BC163" s="177" t="s">
        <v>863</v>
      </c>
      <c r="BD163" s="177" t="s">
        <v>109</v>
      </c>
      <c r="BE163" s="181" t="s">
        <v>1003</v>
      </c>
      <c r="BF163" s="180" t="s">
        <v>109</v>
      </c>
      <c r="BG163" s="180" t="s">
        <v>1299</v>
      </c>
      <c r="BH163" s="177" t="s">
        <v>109</v>
      </c>
      <c r="BI163" s="177" t="s">
        <v>109</v>
      </c>
      <c r="BJ163" s="177" t="b">
        <v>1</v>
      </c>
      <c r="BK163" s="233">
        <v>839.34663999999998</v>
      </c>
      <c r="BL163" s="234" t="s">
        <v>128</v>
      </c>
      <c r="BM163" s="236">
        <v>1023.28557</v>
      </c>
      <c r="BN163" s="236">
        <v>0</v>
      </c>
      <c r="BO163" s="236">
        <v>74.345020000000005</v>
      </c>
      <c r="BP163" s="236">
        <v>242.51523</v>
      </c>
      <c r="BQ163" s="236">
        <v>110.0629</v>
      </c>
      <c r="BR163" s="236">
        <v>556.11383000000001</v>
      </c>
      <c r="BS163" s="236">
        <v>40.24859</v>
      </c>
      <c r="BT163" s="236">
        <v>0</v>
      </c>
      <c r="BU163" s="236">
        <v>0</v>
      </c>
      <c r="BV163" s="236">
        <v>0</v>
      </c>
      <c r="BW163" s="236">
        <v>0</v>
      </c>
      <c r="BX163" s="236">
        <v>0</v>
      </c>
      <c r="BY163" s="234">
        <v>0</v>
      </c>
      <c r="BZ163" s="236" t="s">
        <v>109</v>
      </c>
      <c r="CA163" s="236" t="s">
        <v>109</v>
      </c>
      <c r="CB163" s="236" t="s">
        <v>196</v>
      </c>
      <c r="CC163" s="236">
        <v>0</v>
      </c>
      <c r="CD163" s="236">
        <v>0</v>
      </c>
      <c r="CE163" s="236">
        <v>0</v>
      </c>
      <c r="CF163" s="236">
        <v>0</v>
      </c>
      <c r="CG163" s="236">
        <v>983.03697999999997</v>
      </c>
      <c r="CH163" s="236">
        <v>40.24859</v>
      </c>
      <c r="CI163" s="236">
        <v>0</v>
      </c>
      <c r="CJ163" s="237">
        <v>1</v>
      </c>
      <c r="CK163" s="177" t="s">
        <v>1300</v>
      </c>
      <c r="CL163" s="177" t="s">
        <v>128</v>
      </c>
      <c r="CM163" s="155" t="s">
        <v>109</v>
      </c>
      <c r="CN163" s="229">
        <v>0</v>
      </c>
      <c r="CO163" s="229">
        <v>1</v>
      </c>
      <c r="CP163" t="s">
        <v>155</v>
      </c>
      <c r="CR163" s="248"/>
    </row>
    <row r="164" spans="1:96" ht="14.4" x14ac:dyDescent="0.3">
      <c r="A164">
        <v>161</v>
      </c>
      <c r="B164" s="173" t="s">
        <v>1301</v>
      </c>
      <c r="C164" s="259"/>
      <c r="D164" s="260"/>
      <c r="E164" t="s">
        <v>191</v>
      </c>
      <c r="F164" t="s">
        <v>1302</v>
      </c>
      <c r="G164" s="177" t="s">
        <v>1080</v>
      </c>
      <c r="H164" s="177" t="s">
        <v>112</v>
      </c>
      <c r="I164" s="177" t="s">
        <v>112</v>
      </c>
      <c r="J164" s="177" t="s">
        <v>109</v>
      </c>
      <c r="K164" s="177" t="s">
        <v>1073</v>
      </c>
      <c r="L164" s="177" t="s">
        <v>1074</v>
      </c>
      <c r="M164" s="177" t="s">
        <v>109</v>
      </c>
      <c r="N164" s="177" t="s">
        <v>109</v>
      </c>
      <c r="O164" s="180">
        <v>45757</v>
      </c>
      <c r="P164" s="177" t="s">
        <v>109</v>
      </c>
      <c r="Q164" s="177" t="s">
        <v>109</v>
      </c>
      <c r="R164" s="177" t="s">
        <v>109</v>
      </c>
      <c r="S164" s="177" t="s">
        <v>109</v>
      </c>
      <c r="T164" s="177" t="s">
        <v>116</v>
      </c>
      <c r="U164" s="177" t="s">
        <v>117</v>
      </c>
      <c r="V164" s="177" t="b">
        <v>0</v>
      </c>
      <c r="W164" s="177" t="s">
        <v>109</v>
      </c>
      <c r="X164" s="261"/>
      <c r="Y164" s="177" t="s">
        <v>118</v>
      </c>
      <c r="Z164" s="176" t="s">
        <v>1303</v>
      </c>
      <c r="AA164" s="177" t="s">
        <v>1266</v>
      </c>
      <c r="AB164" s="177" t="s">
        <v>373</v>
      </c>
      <c r="AC164" s="177">
        <v>4.3</v>
      </c>
      <c r="AD164" s="177" t="s">
        <v>1304</v>
      </c>
      <c r="AE164" s="177" t="s">
        <v>1230</v>
      </c>
      <c r="AF164" s="177">
        <v>1</v>
      </c>
      <c r="AG164" s="177">
        <v>16126</v>
      </c>
      <c r="AH164" s="177" t="s">
        <v>121</v>
      </c>
      <c r="AI164" s="177" t="b">
        <v>1</v>
      </c>
      <c r="AJ164" s="180">
        <v>45139</v>
      </c>
      <c r="AK164" s="177" t="s">
        <v>122</v>
      </c>
      <c r="AL164" s="177">
        <v>2023</v>
      </c>
      <c r="AM164" s="177" t="s">
        <v>109</v>
      </c>
      <c r="AN164" s="179" t="b">
        <v>0</v>
      </c>
      <c r="AO164" s="177" t="s">
        <v>109</v>
      </c>
      <c r="AP164" s="177" t="s">
        <v>109</v>
      </c>
      <c r="AQ164" s="177" t="s">
        <v>109</v>
      </c>
      <c r="AR164" s="177" t="b">
        <v>0</v>
      </c>
      <c r="AS164" s="177" t="s">
        <v>123</v>
      </c>
      <c r="AT164" s="180" t="s">
        <v>109</v>
      </c>
      <c r="AU164" s="177" t="s">
        <v>124</v>
      </c>
      <c r="AV164" s="177" t="s">
        <v>109</v>
      </c>
      <c r="AW164" s="177" t="s">
        <v>195</v>
      </c>
      <c r="AX164" s="177" t="s">
        <v>109</v>
      </c>
      <c r="AY164" s="177" t="s">
        <v>135</v>
      </c>
      <c r="AZ164" s="177" t="s">
        <v>109</v>
      </c>
      <c r="BA164" s="177" t="s">
        <v>125</v>
      </c>
      <c r="BB164" s="177" t="s">
        <v>109</v>
      </c>
      <c r="BC164" s="177" t="s">
        <v>322</v>
      </c>
      <c r="BD164" s="177" t="s">
        <v>109</v>
      </c>
      <c r="BE164" s="181" t="s">
        <v>1305</v>
      </c>
      <c r="BF164" s="180" t="s">
        <v>1306</v>
      </c>
      <c r="BG164" s="180" t="s">
        <v>1307</v>
      </c>
      <c r="BH164" s="177" t="s">
        <v>109</v>
      </c>
      <c r="BI164" s="177" t="s">
        <v>109</v>
      </c>
      <c r="BJ164" s="177" t="b">
        <v>0</v>
      </c>
      <c r="BK164" s="233">
        <v>900.94773999999995</v>
      </c>
      <c r="BL164" s="234" t="s">
        <v>128</v>
      </c>
      <c r="BM164" s="236">
        <v>1300.11994862957</v>
      </c>
      <c r="BN164" s="236">
        <v>0</v>
      </c>
      <c r="BO164" s="236">
        <v>0</v>
      </c>
      <c r="BP164" s="236">
        <v>0</v>
      </c>
      <c r="BQ164" s="236">
        <v>46.126350000000002</v>
      </c>
      <c r="BR164" s="236">
        <v>1039.23035</v>
      </c>
      <c r="BS164" s="236">
        <v>99.95384</v>
      </c>
      <c r="BT164" s="236">
        <v>81.034929700000006</v>
      </c>
      <c r="BU164" s="236">
        <v>33.774478899999998</v>
      </c>
      <c r="BV164" s="236">
        <v>0</v>
      </c>
      <c r="BW164" s="236">
        <v>0</v>
      </c>
      <c r="BX164" s="236">
        <v>0</v>
      </c>
      <c r="BY164" s="234">
        <v>1185</v>
      </c>
      <c r="BZ164" s="236" t="s">
        <v>109</v>
      </c>
      <c r="CA164" s="236" t="s">
        <v>109</v>
      </c>
      <c r="CB164" s="236" t="s">
        <v>109</v>
      </c>
      <c r="CC164" s="236">
        <v>0</v>
      </c>
      <c r="CD164" s="236">
        <v>0</v>
      </c>
      <c r="CE164" s="236">
        <v>0</v>
      </c>
      <c r="CF164" s="236">
        <v>0</v>
      </c>
      <c r="CG164" s="236">
        <v>0</v>
      </c>
      <c r="CH164" s="236">
        <v>0</v>
      </c>
      <c r="CI164" s="236">
        <v>0</v>
      </c>
      <c r="CJ164" s="237">
        <v>1</v>
      </c>
      <c r="CK164" s="177" t="s">
        <v>1308</v>
      </c>
      <c r="CL164" s="177" t="s">
        <v>128</v>
      </c>
      <c r="CM164" s="155" t="s">
        <v>109</v>
      </c>
      <c r="CN164" s="229">
        <v>0</v>
      </c>
      <c r="CO164" s="229">
        <v>1</v>
      </c>
      <c r="CP164" t="s">
        <v>155</v>
      </c>
      <c r="CR164" s="248"/>
    </row>
    <row r="165" spans="1:96" ht="14.4" x14ac:dyDescent="0.3">
      <c r="A165">
        <v>162</v>
      </c>
      <c r="B165" s="173" t="s">
        <v>1309</v>
      </c>
      <c r="C165" s="259"/>
      <c r="D165" s="260"/>
      <c r="E165" t="s">
        <v>109</v>
      </c>
      <c r="F165" t="s">
        <v>1310</v>
      </c>
      <c r="G165" s="177" t="s">
        <v>111</v>
      </c>
      <c r="H165" s="177" t="s">
        <v>112</v>
      </c>
      <c r="I165" s="177" t="s">
        <v>109</v>
      </c>
      <c r="J165" s="177" t="s">
        <v>109</v>
      </c>
      <c r="K165" s="177" t="s">
        <v>114</v>
      </c>
      <c r="L165" s="177" t="s">
        <v>1311</v>
      </c>
      <c r="M165" s="177" t="s">
        <v>109</v>
      </c>
      <c r="N165" s="177" t="s">
        <v>109</v>
      </c>
      <c r="O165" s="180" t="s">
        <v>1312</v>
      </c>
      <c r="P165" s="177" t="s">
        <v>109</v>
      </c>
      <c r="Q165" s="177" t="s">
        <v>109</v>
      </c>
      <c r="R165" s="177" t="s">
        <v>109</v>
      </c>
      <c r="S165" s="177" t="s">
        <v>109</v>
      </c>
      <c r="T165" s="177" t="s">
        <v>116</v>
      </c>
      <c r="U165" s="177" t="s">
        <v>117</v>
      </c>
      <c r="V165" s="177" t="b">
        <v>0</v>
      </c>
      <c r="W165" s="177" t="s">
        <v>109</v>
      </c>
      <c r="X165" s="261"/>
      <c r="Y165" s="177" t="s">
        <v>118</v>
      </c>
      <c r="Z165" s="177" t="s">
        <v>118</v>
      </c>
      <c r="AA165" s="177">
        <v>138</v>
      </c>
      <c r="AB165" s="177" t="s">
        <v>1313</v>
      </c>
      <c r="AC165" s="177">
        <v>4.3</v>
      </c>
      <c r="AD165" s="177" t="s">
        <v>1314</v>
      </c>
      <c r="AE165" s="177" t="s">
        <v>1315</v>
      </c>
      <c r="AF165" s="177">
        <v>1</v>
      </c>
      <c r="AG165" s="177">
        <v>16133</v>
      </c>
      <c r="AH165" s="177" t="s">
        <v>121</v>
      </c>
      <c r="AI165" s="177" t="b">
        <v>1</v>
      </c>
      <c r="AJ165" s="180">
        <v>44468</v>
      </c>
      <c r="AK165" s="177" t="s">
        <v>122</v>
      </c>
      <c r="AL165" s="177" t="s">
        <v>109</v>
      </c>
      <c r="AM165" s="177" t="s">
        <v>109</v>
      </c>
      <c r="AN165" s="177" t="b">
        <v>0</v>
      </c>
      <c r="AO165" s="177" t="s">
        <v>109</v>
      </c>
      <c r="AP165" s="177" t="s">
        <v>109</v>
      </c>
      <c r="AQ165" s="177" t="s">
        <v>118</v>
      </c>
      <c r="AR165" s="177" t="b">
        <v>0</v>
      </c>
      <c r="AS165" s="177" t="s">
        <v>123</v>
      </c>
      <c r="AT165" s="180" t="s">
        <v>123</v>
      </c>
      <c r="AU165" s="177" t="s">
        <v>124</v>
      </c>
      <c r="AV165" s="177" t="s">
        <v>109</v>
      </c>
      <c r="AW165" s="177" t="s">
        <v>118</v>
      </c>
      <c r="AX165" s="177" t="s">
        <v>118</v>
      </c>
      <c r="AY165" s="177" t="s">
        <v>109</v>
      </c>
      <c r="AZ165" s="177" t="s">
        <v>109</v>
      </c>
      <c r="BA165" s="177" t="s">
        <v>109</v>
      </c>
      <c r="BB165" s="177" t="s">
        <v>109</v>
      </c>
      <c r="BC165" s="177" t="s">
        <v>126</v>
      </c>
      <c r="BD165" s="177" t="s">
        <v>109</v>
      </c>
      <c r="BE165" s="180" t="s">
        <v>109</v>
      </c>
      <c r="BF165" s="180" t="s">
        <v>1316</v>
      </c>
      <c r="BG165" s="180">
        <v>43738</v>
      </c>
      <c r="BH165" s="177" t="s">
        <v>109</v>
      </c>
      <c r="BI165" s="177" t="s">
        <v>109</v>
      </c>
      <c r="BJ165" s="177" t="b">
        <v>0</v>
      </c>
      <c r="BK165" s="233">
        <v>1220.9069999999999</v>
      </c>
      <c r="BL165" s="234" t="s">
        <v>128</v>
      </c>
      <c r="BM165" s="233">
        <v>1986.16651</v>
      </c>
      <c r="BN165" s="233">
        <v>-25.092459999999999</v>
      </c>
      <c r="BO165" s="233">
        <v>0.18329999999999999</v>
      </c>
      <c r="BP165" s="233">
        <v>0</v>
      </c>
      <c r="BQ165" s="233">
        <v>0</v>
      </c>
      <c r="BR165" s="233">
        <v>0</v>
      </c>
      <c r="BS165" s="233">
        <v>0</v>
      </c>
      <c r="BT165" s="233">
        <v>0</v>
      </c>
      <c r="BU165" s="233">
        <v>0</v>
      </c>
      <c r="BV165" s="233">
        <v>0</v>
      </c>
      <c r="BW165" s="233">
        <v>0</v>
      </c>
      <c r="BX165" s="233">
        <v>0</v>
      </c>
      <c r="BY165" s="234">
        <v>0</v>
      </c>
      <c r="BZ165" s="236" t="s">
        <v>109</v>
      </c>
      <c r="CA165" s="236" t="s">
        <v>109</v>
      </c>
      <c r="CB165" s="236" t="s">
        <v>189</v>
      </c>
      <c r="CC165" s="233">
        <v>1985.9832100000001</v>
      </c>
      <c r="CD165" s="233">
        <v>0.18329999999999999</v>
      </c>
      <c r="CE165" s="233">
        <v>0</v>
      </c>
      <c r="CF165" s="233">
        <v>0</v>
      </c>
      <c r="CG165" s="233">
        <v>0</v>
      </c>
      <c r="CH165" s="233">
        <v>0</v>
      </c>
      <c r="CI165" s="233">
        <v>0</v>
      </c>
      <c r="CJ165" s="237">
        <v>0</v>
      </c>
      <c r="CK165" s="177" t="s">
        <v>128</v>
      </c>
      <c r="CL165" s="177" t="s">
        <v>128</v>
      </c>
      <c r="CM165" s="155" t="s">
        <v>109</v>
      </c>
      <c r="CN165" s="229">
        <v>0</v>
      </c>
      <c r="CO165" s="229">
        <v>1</v>
      </c>
      <c r="CP165" t="s">
        <v>155</v>
      </c>
      <c r="CR165" s="248"/>
    </row>
    <row r="166" spans="1:96" ht="14.4" x14ac:dyDescent="0.3">
      <c r="A166">
        <v>163</v>
      </c>
      <c r="B166" s="173" t="s">
        <v>1317</v>
      </c>
      <c r="C166" s="259"/>
      <c r="D166" s="260"/>
      <c r="E166" t="s">
        <v>109</v>
      </c>
      <c r="F166" t="s">
        <v>1318</v>
      </c>
      <c r="G166" s="177" t="s">
        <v>111</v>
      </c>
      <c r="H166" s="177" t="s">
        <v>113</v>
      </c>
      <c r="I166" s="177" t="s">
        <v>109</v>
      </c>
      <c r="J166" s="177" t="s">
        <v>109</v>
      </c>
      <c r="K166" s="177" t="s">
        <v>114</v>
      </c>
      <c r="L166" s="177" t="s">
        <v>159</v>
      </c>
      <c r="M166" s="177" t="s">
        <v>109</v>
      </c>
      <c r="N166" s="177" t="s">
        <v>109</v>
      </c>
      <c r="O166" s="180" t="s">
        <v>109</v>
      </c>
      <c r="P166" s="177" t="s">
        <v>109</v>
      </c>
      <c r="Q166" s="177" t="s">
        <v>109</v>
      </c>
      <c r="R166" s="177" t="s">
        <v>109</v>
      </c>
      <c r="S166" s="177" t="s">
        <v>109</v>
      </c>
      <c r="T166" s="177" t="s">
        <v>116</v>
      </c>
      <c r="U166" s="177" t="s">
        <v>117</v>
      </c>
      <c r="V166" s="177" t="b">
        <v>0</v>
      </c>
      <c r="W166" s="177" t="s">
        <v>109</v>
      </c>
      <c r="X166" s="261"/>
      <c r="Y166" s="177" t="s">
        <v>118</v>
      </c>
      <c r="Z166" s="177" t="s">
        <v>118</v>
      </c>
      <c r="AA166" s="177" t="s">
        <v>119</v>
      </c>
      <c r="AB166" s="177" t="s">
        <v>434</v>
      </c>
      <c r="AC166" s="177">
        <v>4.3</v>
      </c>
      <c r="AD166" s="177" t="s">
        <v>119</v>
      </c>
      <c r="AE166" s="177" t="s">
        <v>1319</v>
      </c>
      <c r="AF166" s="177">
        <v>154</v>
      </c>
      <c r="AG166" s="177">
        <v>16138</v>
      </c>
      <c r="AH166" s="177" t="s">
        <v>121</v>
      </c>
      <c r="AI166" s="177" t="b">
        <v>1</v>
      </c>
      <c r="AJ166" s="180">
        <v>45684</v>
      </c>
      <c r="AK166" s="177" t="s">
        <v>122</v>
      </c>
      <c r="AL166" s="177" t="s">
        <v>109</v>
      </c>
      <c r="AM166" s="177" t="s">
        <v>109</v>
      </c>
      <c r="AN166" s="177" t="b">
        <v>0</v>
      </c>
      <c r="AO166" s="177" t="s">
        <v>109</v>
      </c>
      <c r="AP166" s="177" t="s">
        <v>109</v>
      </c>
      <c r="AQ166" s="177" t="s">
        <v>118</v>
      </c>
      <c r="AR166" s="177" t="b">
        <v>0</v>
      </c>
      <c r="AS166" s="177" t="s">
        <v>123</v>
      </c>
      <c r="AT166" s="180" t="s">
        <v>123</v>
      </c>
      <c r="AU166" s="177" t="s">
        <v>109</v>
      </c>
      <c r="AV166" s="177" t="s">
        <v>109</v>
      </c>
      <c r="AW166" s="177" t="s">
        <v>118</v>
      </c>
      <c r="AX166" s="177" t="s">
        <v>118</v>
      </c>
      <c r="AY166" s="177" t="s">
        <v>135</v>
      </c>
      <c r="AZ166" s="177" t="s">
        <v>109</v>
      </c>
      <c r="BA166" s="177" t="s">
        <v>218</v>
      </c>
      <c r="BB166" s="177" t="s">
        <v>109</v>
      </c>
      <c r="BC166" s="177" t="s">
        <v>126</v>
      </c>
      <c r="BD166" s="177" t="s">
        <v>109</v>
      </c>
      <c r="BE166" s="180" t="s">
        <v>109</v>
      </c>
      <c r="BF166" s="180" t="s">
        <v>127</v>
      </c>
      <c r="BG166" s="180" t="s">
        <v>119</v>
      </c>
      <c r="BH166" s="177" t="s">
        <v>109</v>
      </c>
      <c r="BI166" s="177" t="s">
        <v>109</v>
      </c>
      <c r="BJ166" s="177" t="b">
        <v>1</v>
      </c>
      <c r="BK166" s="233" t="s">
        <v>118</v>
      </c>
      <c r="BL166" s="234" t="s">
        <v>128</v>
      </c>
      <c r="BM166" s="233">
        <f>64112.6432018882-SUM(BM167:BM174,BM369:BM370)</f>
        <v>45100.857411116296</v>
      </c>
      <c r="BN166" s="235">
        <f>5468.7380519-SUM(BN167:BN174,BN369:BN370)</f>
        <v>1903.2663986999996</v>
      </c>
      <c r="BO166" s="235">
        <f>6273.8983426-SUM(BO167:BO174,BO369:BO370)</f>
        <v>3262.5709855000005</v>
      </c>
      <c r="BP166" s="235">
        <f>5302.1022039-SUM(BP167:BP174,BP369:BP370)</f>
        <v>2569.3347239</v>
      </c>
      <c r="BQ166" s="235">
        <f>4256.8195635-SUM(BQ167:BQ174,BQ369:BQ370)</f>
        <v>3487.7431935000004</v>
      </c>
      <c r="BR166" s="235">
        <f>7597.786978-SUM(BR167:BR174,BR369:BR370)</f>
        <v>5322.7613980000006</v>
      </c>
      <c r="BS166" s="235">
        <f>1421.460996-SUM(BS167:BS174,BS369:BS370)</f>
        <v>1347.2259960000001</v>
      </c>
      <c r="BT166" s="235">
        <f>4061.450614-SUM(BT167:BT174,BT369:BT370)</f>
        <v>3331.4218979999996</v>
      </c>
      <c r="BU166" s="235">
        <f>4555.5074157-SUM(BU167:BU174,BU369:BU370)</f>
        <v>4555.5074156999999</v>
      </c>
      <c r="BV166" s="235">
        <f>4528.1073059-SUM(BV167:BV174,BV369:BV370)</f>
        <v>4528.1073059</v>
      </c>
      <c r="BW166" s="235">
        <f>3024.0396982-SUM(BW167:BW174,BW369:BW370)</f>
        <v>3024.0396982000002</v>
      </c>
      <c r="BX166" s="235">
        <f>0-SUM(BX167:BX174,BX369:BX370)</f>
        <v>0</v>
      </c>
      <c r="BY166" s="234">
        <v>6385.5349099999994</v>
      </c>
      <c r="BZ166" s="236" t="s">
        <v>109</v>
      </c>
      <c r="CA166" s="236" t="s">
        <v>109</v>
      </c>
      <c r="CB166" s="236" t="s">
        <v>129</v>
      </c>
      <c r="CC166" s="238">
        <f>8319.059088-SUM(CC167:CC174,CC369:CC370)</f>
        <v>1815.4800480999993</v>
      </c>
      <c r="CD166" s="238">
        <f>5295.7013451-SUM(CD167:CD174,CD369:CD370)</f>
        <v>2278.3505403000004</v>
      </c>
      <c r="CE166" s="238">
        <f>7124.5812601-SUM(CE167:CE174,CE369:CE370)</f>
        <v>3728.1572800999998</v>
      </c>
      <c r="CF166" s="238">
        <f>3823.9226223-SUM(CF167:CF174,CF369:CF370)</f>
        <v>1628.9374422999999</v>
      </c>
      <c r="CG166" s="238">
        <f>7738.110172-SUM(CG167:CG174,CG369:CG370)</f>
        <v>5087.0958919999994</v>
      </c>
      <c r="CH166" s="238">
        <f>904.582946-SUM(CH167:CH174,CH369:CH370)</f>
        <v>783.70463599999994</v>
      </c>
      <c r="CI166" s="235">
        <f>6880.7800082-SUM(CI167:CI174,CI369:CI370)</f>
        <v>5753.2258122000003</v>
      </c>
      <c r="CJ166" s="237">
        <v>0</v>
      </c>
      <c r="CK166" s="177" t="s">
        <v>128</v>
      </c>
      <c r="CL166" s="177">
        <v>2.9</v>
      </c>
      <c r="CM166" s="155" t="s">
        <v>109</v>
      </c>
      <c r="CN166" s="229">
        <v>0.13550000000000001</v>
      </c>
      <c r="CO166" s="229">
        <v>0.86450000000000005</v>
      </c>
      <c r="CP166" t="s">
        <v>480</v>
      </c>
      <c r="CR166" s="248"/>
    </row>
    <row r="167" spans="1:96" ht="86.4" x14ac:dyDescent="0.3">
      <c r="A167">
        <v>164</v>
      </c>
      <c r="B167" s="173" t="s">
        <v>1320</v>
      </c>
      <c r="C167" s="259"/>
      <c r="D167" s="260"/>
      <c r="E167" t="s">
        <v>191</v>
      </c>
      <c r="F167" t="s">
        <v>1321</v>
      </c>
      <c r="G167" s="177" t="s">
        <v>133</v>
      </c>
      <c r="H167" s="177" t="s">
        <v>113</v>
      </c>
      <c r="I167" s="177" t="s">
        <v>109</v>
      </c>
      <c r="J167" s="177" t="s">
        <v>109</v>
      </c>
      <c r="K167" s="177" t="s">
        <v>114</v>
      </c>
      <c r="L167" s="177" t="s">
        <v>159</v>
      </c>
      <c r="M167" s="177" t="s">
        <v>109</v>
      </c>
      <c r="N167" s="177" t="s">
        <v>109</v>
      </c>
      <c r="O167" s="180" t="s">
        <v>109</v>
      </c>
      <c r="P167" s="177" t="s">
        <v>109</v>
      </c>
      <c r="Q167" s="177" t="s">
        <v>109</v>
      </c>
      <c r="R167" s="177" t="s">
        <v>109</v>
      </c>
      <c r="S167" s="177" t="s">
        <v>109</v>
      </c>
      <c r="T167" s="177" t="s">
        <v>116</v>
      </c>
      <c r="U167" s="177" t="s">
        <v>117</v>
      </c>
      <c r="V167" s="177" t="b">
        <v>0</v>
      </c>
      <c r="W167" s="177" t="s">
        <v>109</v>
      </c>
      <c r="X167" s="261"/>
      <c r="Y167" s="177" t="s">
        <v>109</v>
      </c>
      <c r="Z167" s="177" t="s">
        <v>109</v>
      </c>
      <c r="AA167" s="177" t="s">
        <v>119</v>
      </c>
      <c r="AB167" s="177" t="s">
        <v>434</v>
      </c>
      <c r="AC167" s="177">
        <v>4.3</v>
      </c>
      <c r="AD167" s="177" t="s">
        <v>119</v>
      </c>
      <c r="AE167" s="177" t="s">
        <v>1319</v>
      </c>
      <c r="AF167" s="177">
        <v>1</v>
      </c>
      <c r="AG167" s="177">
        <v>16138</v>
      </c>
      <c r="AH167" s="177" t="s">
        <v>121</v>
      </c>
      <c r="AI167" s="177" t="b">
        <v>1</v>
      </c>
      <c r="AJ167" s="180">
        <v>44531</v>
      </c>
      <c r="AK167" s="177" t="s">
        <v>122</v>
      </c>
      <c r="AL167" s="177" t="s">
        <v>109</v>
      </c>
      <c r="AM167" s="177" t="s">
        <v>109</v>
      </c>
      <c r="AN167" s="177" t="b">
        <v>0</v>
      </c>
      <c r="AO167" s="177" t="s">
        <v>109</v>
      </c>
      <c r="AP167" s="177" t="s">
        <v>109</v>
      </c>
      <c r="AQ167" s="177" t="s">
        <v>109</v>
      </c>
      <c r="AR167" s="177" t="b">
        <v>0</v>
      </c>
      <c r="AS167" s="177" t="s">
        <v>123</v>
      </c>
      <c r="AT167" s="180" t="s">
        <v>123</v>
      </c>
      <c r="AU167" s="177" t="s">
        <v>109</v>
      </c>
      <c r="AV167" s="177" t="s">
        <v>109</v>
      </c>
      <c r="AW167" s="177" t="s">
        <v>118</v>
      </c>
      <c r="AX167" s="177" t="s">
        <v>118</v>
      </c>
      <c r="AY167" s="177" t="s">
        <v>135</v>
      </c>
      <c r="AZ167" s="177" t="s">
        <v>109</v>
      </c>
      <c r="BA167" s="177" t="s">
        <v>218</v>
      </c>
      <c r="BB167" s="177" t="s">
        <v>109</v>
      </c>
      <c r="BC167" s="177" t="s">
        <v>126</v>
      </c>
      <c r="BD167" s="177" t="s">
        <v>109</v>
      </c>
      <c r="BE167" s="180" t="s">
        <v>109</v>
      </c>
      <c r="BF167" s="180" t="s">
        <v>137</v>
      </c>
      <c r="BG167" s="180">
        <v>45199</v>
      </c>
      <c r="BH167" s="177" t="s">
        <v>109</v>
      </c>
      <c r="BI167" s="177" t="s">
        <v>109</v>
      </c>
      <c r="BJ167" s="177" t="b">
        <v>0</v>
      </c>
      <c r="BK167" s="233">
        <v>1428.17842</v>
      </c>
      <c r="BL167" s="234" t="s">
        <v>128</v>
      </c>
      <c r="BM167" s="233">
        <v>2032.4924699999999</v>
      </c>
      <c r="BN167" s="233">
        <v>0</v>
      </c>
      <c r="BO167" s="233">
        <v>25.732510000000001</v>
      </c>
      <c r="BP167" s="233">
        <v>1520.86421</v>
      </c>
      <c r="BQ167" s="233">
        <v>473.11374999999998</v>
      </c>
      <c r="BR167" s="233">
        <v>12.782</v>
      </c>
      <c r="BS167" s="233">
        <v>0</v>
      </c>
      <c r="BT167" s="233">
        <v>0</v>
      </c>
      <c r="BU167" s="233">
        <v>0</v>
      </c>
      <c r="BV167" s="233">
        <v>0</v>
      </c>
      <c r="BW167" s="233">
        <v>0</v>
      </c>
      <c r="BX167" s="233">
        <v>0</v>
      </c>
      <c r="BY167" s="234">
        <v>0</v>
      </c>
      <c r="BZ167" s="236" t="s">
        <v>109</v>
      </c>
      <c r="CA167" s="236" t="s">
        <v>109</v>
      </c>
      <c r="CB167" s="236" t="s">
        <v>174</v>
      </c>
      <c r="CC167" s="233">
        <v>0</v>
      </c>
      <c r="CD167" s="233">
        <v>0</v>
      </c>
      <c r="CE167" s="233">
        <v>0</v>
      </c>
      <c r="CF167" s="233">
        <v>2019.71047</v>
      </c>
      <c r="CG167" s="233">
        <v>12.782</v>
      </c>
      <c r="CH167" s="233">
        <v>0</v>
      </c>
      <c r="CI167" s="233">
        <v>0</v>
      </c>
      <c r="CJ167" s="237">
        <v>0</v>
      </c>
      <c r="CK167" s="177" t="s">
        <v>128</v>
      </c>
      <c r="CL167" s="177" t="s">
        <v>128</v>
      </c>
      <c r="CM167" s="155" t="s">
        <v>109</v>
      </c>
      <c r="CN167" s="229">
        <v>0.13550000000000001</v>
      </c>
      <c r="CO167" s="229">
        <v>0.86450000000000005</v>
      </c>
      <c r="CP167" s="138" t="s">
        <v>1322</v>
      </c>
      <c r="CR167" s="248"/>
    </row>
    <row r="168" spans="1:96" ht="14.4" x14ac:dyDescent="0.3">
      <c r="A168">
        <v>165</v>
      </c>
      <c r="B168" s="173" t="s">
        <v>1323</v>
      </c>
      <c r="C168" s="259"/>
      <c r="D168" s="260"/>
      <c r="E168" t="s">
        <v>191</v>
      </c>
      <c r="F168" t="s">
        <v>1321</v>
      </c>
      <c r="G168" s="177" t="s">
        <v>133</v>
      </c>
      <c r="H168" s="177" t="s">
        <v>113</v>
      </c>
      <c r="I168" s="177" t="s">
        <v>109</v>
      </c>
      <c r="J168" s="177" t="s">
        <v>109</v>
      </c>
      <c r="K168" s="177" t="s">
        <v>114</v>
      </c>
      <c r="L168" s="177" t="s">
        <v>159</v>
      </c>
      <c r="M168" s="177" t="s">
        <v>109</v>
      </c>
      <c r="N168" s="177" t="s">
        <v>109</v>
      </c>
      <c r="O168" s="180" t="s">
        <v>109</v>
      </c>
      <c r="P168" s="177" t="s">
        <v>109</v>
      </c>
      <c r="Q168" s="177" t="s">
        <v>109</v>
      </c>
      <c r="R168" s="177" t="s">
        <v>109</v>
      </c>
      <c r="S168" s="177" t="s">
        <v>109</v>
      </c>
      <c r="T168" s="177" t="s">
        <v>116</v>
      </c>
      <c r="U168" s="177" t="s">
        <v>117</v>
      </c>
      <c r="V168" s="177" t="b">
        <v>0</v>
      </c>
      <c r="W168" s="177" t="s">
        <v>109</v>
      </c>
      <c r="X168" s="261"/>
      <c r="Y168" s="177" t="s">
        <v>109</v>
      </c>
      <c r="Z168" s="177" t="s">
        <v>109</v>
      </c>
      <c r="AA168" s="177" t="s">
        <v>119</v>
      </c>
      <c r="AB168" s="177" t="s">
        <v>434</v>
      </c>
      <c r="AC168" s="177">
        <v>4.3</v>
      </c>
      <c r="AD168" s="177" t="s">
        <v>109</v>
      </c>
      <c r="AE168" s="177" t="s">
        <v>1319</v>
      </c>
      <c r="AF168" s="177">
        <v>1</v>
      </c>
      <c r="AG168" s="177">
        <v>16138</v>
      </c>
      <c r="AH168" s="177" t="s">
        <v>121</v>
      </c>
      <c r="AI168" s="177" t="b">
        <v>1</v>
      </c>
      <c r="AJ168" s="180">
        <v>43112</v>
      </c>
      <c r="AK168" s="177" t="s">
        <v>122</v>
      </c>
      <c r="AL168" s="177" t="s">
        <v>109</v>
      </c>
      <c r="AM168" s="177" t="s">
        <v>109</v>
      </c>
      <c r="AN168" s="177" t="b">
        <v>0</v>
      </c>
      <c r="AO168" s="177" t="s">
        <v>109</v>
      </c>
      <c r="AP168" s="177" t="s">
        <v>109</v>
      </c>
      <c r="AQ168" s="177" t="s">
        <v>109</v>
      </c>
      <c r="AR168" s="177" t="b">
        <v>0</v>
      </c>
      <c r="AS168" s="177" t="s">
        <v>123</v>
      </c>
      <c r="AT168" s="180" t="s">
        <v>123</v>
      </c>
      <c r="AU168" s="177" t="s">
        <v>109</v>
      </c>
      <c r="AV168" s="177" t="s">
        <v>109</v>
      </c>
      <c r="AW168" s="177" t="s">
        <v>118</v>
      </c>
      <c r="AX168" s="177" t="s">
        <v>118</v>
      </c>
      <c r="AY168" s="177" t="s">
        <v>135</v>
      </c>
      <c r="AZ168" s="177" t="s">
        <v>109</v>
      </c>
      <c r="BA168" s="177" t="s">
        <v>218</v>
      </c>
      <c r="BB168" s="177" t="s">
        <v>109</v>
      </c>
      <c r="BC168" s="177" t="s">
        <v>126</v>
      </c>
      <c r="BD168" s="177" t="s">
        <v>109</v>
      </c>
      <c r="BE168" s="180" t="s">
        <v>109</v>
      </c>
      <c r="BF168" s="180" t="s">
        <v>1324</v>
      </c>
      <c r="BG168" s="180" t="s">
        <v>152</v>
      </c>
      <c r="BH168" s="177" t="s">
        <v>459</v>
      </c>
      <c r="BI168" s="177" t="s">
        <v>109</v>
      </c>
      <c r="BJ168" s="177" t="b">
        <v>0</v>
      </c>
      <c r="BK168" s="233">
        <v>498.53699999999998</v>
      </c>
      <c r="BL168" s="234" t="s">
        <v>128</v>
      </c>
      <c r="BM168" s="233">
        <v>5449.5509915160001</v>
      </c>
      <c r="BN168" s="233">
        <v>382.86664439999998</v>
      </c>
      <c r="BO168" s="233">
        <v>29.741759999999999</v>
      </c>
      <c r="BP168" s="233">
        <v>0</v>
      </c>
      <c r="BQ168" s="233">
        <v>0</v>
      </c>
      <c r="BR168" s="233">
        <v>0</v>
      </c>
      <c r="BS168" s="233">
        <v>0</v>
      </c>
      <c r="BT168" s="233">
        <v>0</v>
      </c>
      <c r="BU168" s="233">
        <v>0</v>
      </c>
      <c r="BV168" s="233">
        <v>0</v>
      </c>
      <c r="BW168" s="233">
        <v>0</v>
      </c>
      <c r="BX168" s="233">
        <v>0</v>
      </c>
      <c r="BY168" s="234">
        <v>0</v>
      </c>
      <c r="BZ168" s="236" t="s">
        <v>109</v>
      </c>
      <c r="CA168" s="236" t="s">
        <v>109</v>
      </c>
      <c r="CB168" s="236" t="s">
        <v>189</v>
      </c>
      <c r="CC168" s="233">
        <v>5419.8092315000004</v>
      </c>
      <c r="CD168" s="233">
        <v>29.741759999999999</v>
      </c>
      <c r="CE168" s="233">
        <v>0</v>
      </c>
      <c r="CF168" s="233">
        <v>0</v>
      </c>
      <c r="CG168" s="233">
        <v>0</v>
      </c>
      <c r="CH168" s="233">
        <v>0</v>
      </c>
      <c r="CI168" s="233">
        <v>0</v>
      </c>
      <c r="CJ168" s="237">
        <v>0</v>
      </c>
      <c r="CK168" s="177" t="s">
        <v>128</v>
      </c>
      <c r="CL168" s="177" t="s">
        <v>128</v>
      </c>
      <c r="CM168" s="155" t="s">
        <v>109</v>
      </c>
      <c r="CN168" s="229">
        <v>0.13550000000000001</v>
      </c>
      <c r="CO168" s="229">
        <v>0.86450000000000005</v>
      </c>
      <c r="CP168" t="s">
        <v>480</v>
      </c>
      <c r="CR168" s="248"/>
    </row>
    <row r="169" spans="1:96" ht="14.4" x14ac:dyDescent="0.3">
      <c r="A169">
        <v>166</v>
      </c>
      <c r="B169" s="173" t="s">
        <v>1325</v>
      </c>
      <c r="C169" s="259"/>
      <c r="D169" s="260"/>
      <c r="E169" t="s">
        <v>191</v>
      </c>
      <c r="F169" t="s">
        <v>1321</v>
      </c>
      <c r="G169" s="177" t="s">
        <v>133</v>
      </c>
      <c r="H169" s="177" t="s">
        <v>113</v>
      </c>
      <c r="I169" s="177" t="s">
        <v>109</v>
      </c>
      <c r="J169" s="177" t="s">
        <v>109</v>
      </c>
      <c r="K169" s="177" t="s">
        <v>114</v>
      </c>
      <c r="L169" s="177" t="s">
        <v>159</v>
      </c>
      <c r="M169" s="177" t="s">
        <v>109</v>
      </c>
      <c r="N169" s="177" t="s">
        <v>109</v>
      </c>
      <c r="O169" s="180" t="s">
        <v>109</v>
      </c>
      <c r="P169" s="177" t="s">
        <v>109</v>
      </c>
      <c r="Q169" s="177" t="s">
        <v>109</v>
      </c>
      <c r="R169" s="177" t="s">
        <v>109</v>
      </c>
      <c r="S169" s="177" t="s">
        <v>109</v>
      </c>
      <c r="T169" s="177" t="s">
        <v>116</v>
      </c>
      <c r="U169" s="177" t="s">
        <v>117</v>
      </c>
      <c r="V169" s="177" t="b">
        <v>0</v>
      </c>
      <c r="W169" s="177" t="s">
        <v>109</v>
      </c>
      <c r="X169" s="261"/>
      <c r="Y169" s="177" t="s">
        <v>109</v>
      </c>
      <c r="Z169" s="177" t="s">
        <v>109</v>
      </c>
      <c r="AA169" s="177" t="s">
        <v>119</v>
      </c>
      <c r="AB169" s="177" t="s">
        <v>434</v>
      </c>
      <c r="AC169" s="177">
        <v>4.3</v>
      </c>
      <c r="AD169" s="177" t="s">
        <v>1326</v>
      </c>
      <c r="AE169" s="177" t="s">
        <v>1319</v>
      </c>
      <c r="AF169" s="177">
        <v>1</v>
      </c>
      <c r="AG169" s="177">
        <v>16138</v>
      </c>
      <c r="AH169" s="177" t="s">
        <v>121</v>
      </c>
      <c r="AI169" s="177" t="b">
        <v>1</v>
      </c>
      <c r="AJ169" s="180">
        <v>43928</v>
      </c>
      <c r="AK169" s="177" t="s">
        <v>122</v>
      </c>
      <c r="AL169" s="177" t="s">
        <v>109</v>
      </c>
      <c r="AM169" s="177" t="s">
        <v>109</v>
      </c>
      <c r="AN169" s="177" t="b">
        <v>0</v>
      </c>
      <c r="AO169" s="177" t="s">
        <v>109</v>
      </c>
      <c r="AP169" s="177" t="s">
        <v>109</v>
      </c>
      <c r="AQ169" s="177" t="s">
        <v>109</v>
      </c>
      <c r="AR169" s="177" t="b">
        <v>0</v>
      </c>
      <c r="AS169" s="177" t="s">
        <v>123</v>
      </c>
      <c r="AT169" s="180" t="s">
        <v>123</v>
      </c>
      <c r="AU169" s="177" t="s">
        <v>109</v>
      </c>
      <c r="AV169" s="177" t="s">
        <v>109</v>
      </c>
      <c r="AW169" s="177" t="s">
        <v>118</v>
      </c>
      <c r="AX169" s="177" t="s">
        <v>118</v>
      </c>
      <c r="AY169" s="177" t="s">
        <v>135</v>
      </c>
      <c r="AZ169" s="177" t="s">
        <v>109</v>
      </c>
      <c r="BA169" s="177" t="s">
        <v>218</v>
      </c>
      <c r="BB169" s="177" t="s">
        <v>109</v>
      </c>
      <c r="BC169" s="177" t="s">
        <v>126</v>
      </c>
      <c r="BD169" s="177" t="s">
        <v>109</v>
      </c>
      <c r="BE169" s="180" t="s">
        <v>1327</v>
      </c>
      <c r="BF169" s="180" t="s">
        <v>152</v>
      </c>
      <c r="BG169" s="180" t="s">
        <v>1328</v>
      </c>
      <c r="BH169" s="177" t="s">
        <v>459</v>
      </c>
      <c r="BI169" s="177" t="s">
        <v>109</v>
      </c>
      <c r="BJ169" s="177" t="b">
        <v>0</v>
      </c>
      <c r="BK169" s="233">
        <v>1420.4110000000001</v>
      </c>
      <c r="BL169" s="234" t="s">
        <v>128</v>
      </c>
      <c r="BM169" s="233">
        <v>2987.4920400000001</v>
      </c>
      <c r="BN169" s="233">
        <v>2699.6087900000002</v>
      </c>
      <c r="BO169" s="233">
        <v>287.88324999999998</v>
      </c>
      <c r="BP169" s="233">
        <v>0</v>
      </c>
      <c r="BQ169" s="233">
        <v>0</v>
      </c>
      <c r="BR169" s="233">
        <v>0</v>
      </c>
      <c r="BS169" s="233">
        <v>0</v>
      </c>
      <c r="BT169" s="233">
        <v>0</v>
      </c>
      <c r="BU169" s="233">
        <v>0</v>
      </c>
      <c r="BV169" s="233">
        <v>0</v>
      </c>
      <c r="BW169" s="233">
        <v>0</v>
      </c>
      <c r="BX169" s="233">
        <v>0</v>
      </c>
      <c r="BY169" s="234">
        <v>0</v>
      </c>
      <c r="BZ169" s="236" t="s">
        <v>109</v>
      </c>
      <c r="CA169" s="236" t="s">
        <v>109</v>
      </c>
      <c r="CB169" s="236">
        <v>2021</v>
      </c>
      <c r="CC169" s="233">
        <v>0</v>
      </c>
      <c r="CD169" s="233">
        <v>2987.4920400000001</v>
      </c>
      <c r="CE169" s="233">
        <v>0</v>
      </c>
      <c r="CF169" s="233">
        <v>0</v>
      </c>
      <c r="CG169" s="233">
        <v>0</v>
      </c>
      <c r="CH169" s="233">
        <v>0</v>
      </c>
      <c r="CI169" s="233">
        <v>0</v>
      </c>
      <c r="CJ169" s="237">
        <v>0</v>
      </c>
      <c r="CK169" s="177" t="s">
        <v>128</v>
      </c>
      <c r="CL169" s="177" t="s">
        <v>128</v>
      </c>
      <c r="CM169" s="155" t="s">
        <v>109</v>
      </c>
      <c r="CN169" s="229">
        <v>0.13550000000000001</v>
      </c>
      <c r="CO169" s="229">
        <v>0.86450000000000005</v>
      </c>
      <c r="CP169" t="s">
        <v>480</v>
      </c>
      <c r="CR169" s="248"/>
    </row>
    <row r="170" spans="1:96" ht="14.4" x14ac:dyDescent="0.3">
      <c r="A170">
        <v>167</v>
      </c>
      <c r="B170" s="173" t="s">
        <v>1329</v>
      </c>
      <c r="C170" s="259"/>
      <c r="D170" s="260"/>
      <c r="E170" t="s">
        <v>1330</v>
      </c>
      <c r="F170" t="s">
        <v>1331</v>
      </c>
      <c r="G170" s="177" t="s">
        <v>133</v>
      </c>
      <c r="H170" s="177" t="s">
        <v>113</v>
      </c>
      <c r="I170" s="177" t="s">
        <v>109</v>
      </c>
      <c r="J170" s="177" t="s">
        <v>109</v>
      </c>
      <c r="K170" s="177" t="s">
        <v>114</v>
      </c>
      <c r="L170" s="177" t="s">
        <v>159</v>
      </c>
      <c r="M170" s="177" t="s">
        <v>109</v>
      </c>
      <c r="N170" s="177" t="s">
        <v>109</v>
      </c>
      <c r="O170" s="180">
        <v>45792</v>
      </c>
      <c r="P170" s="177" t="s">
        <v>109</v>
      </c>
      <c r="Q170" s="177" t="s">
        <v>109</v>
      </c>
      <c r="R170" s="177" t="s">
        <v>109</v>
      </c>
      <c r="S170" s="177" t="s">
        <v>109</v>
      </c>
      <c r="T170" s="177" t="s">
        <v>116</v>
      </c>
      <c r="U170" s="177" t="s">
        <v>117</v>
      </c>
      <c r="V170" s="177" t="b">
        <v>0</v>
      </c>
      <c r="W170" s="177" t="s">
        <v>109</v>
      </c>
      <c r="X170" s="261"/>
      <c r="Y170" s="177" t="s">
        <v>109</v>
      </c>
      <c r="Z170" s="177" t="s">
        <v>109</v>
      </c>
      <c r="AA170" s="177" t="s">
        <v>1332</v>
      </c>
      <c r="AB170" s="177" t="s">
        <v>434</v>
      </c>
      <c r="AC170" s="177">
        <v>4.3</v>
      </c>
      <c r="AD170" s="177" t="s">
        <v>1333</v>
      </c>
      <c r="AE170" s="177" t="s">
        <v>1319</v>
      </c>
      <c r="AF170" s="177">
        <v>1</v>
      </c>
      <c r="AG170" s="177">
        <v>16138</v>
      </c>
      <c r="AH170" s="177" t="s">
        <v>121</v>
      </c>
      <c r="AI170" s="177" t="b">
        <v>1</v>
      </c>
      <c r="AJ170" s="180">
        <v>42788</v>
      </c>
      <c r="AK170" s="177" t="s">
        <v>122</v>
      </c>
      <c r="AL170" s="177" t="s">
        <v>109</v>
      </c>
      <c r="AM170" s="177" t="s">
        <v>109</v>
      </c>
      <c r="AN170" s="177" t="b">
        <v>0</v>
      </c>
      <c r="AO170" s="177" t="s">
        <v>109</v>
      </c>
      <c r="AP170" s="177" t="s">
        <v>109</v>
      </c>
      <c r="AQ170" s="177" t="s">
        <v>109</v>
      </c>
      <c r="AR170" s="177" t="b">
        <v>0</v>
      </c>
      <c r="AS170" s="177" t="s">
        <v>123</v>
      </c>
      <c r="AT170" s="180" t="s">
        <v>123</v>
      </c>
      <c r="AU170" s="177" t="s">
        <v>109</v>
      </c>
      <c r="AV170" s="177" t="s">
        <v>109</v>
      </c>
      <c r="AW170" s="177" t="s">
        <v>118</v>
      </c>
      <c r="AX170" s="177" t="s">
        <v>118</v>
      </c>
      <c r="AY170" s="177" t="s">
        <v>135</v>
      </c>
      <c r="AZ170" s="177" t="s">
        <v>109</v>
      </c>
      <c r="BA170" s="177" t="s">
        <v>218</v>
      </c>
      <c r="BB170" s="177" t="s">
        <v>109</v>
      </c>
      <c r="BC170" s="177" t="s">
        <v>126</v>
      </c>
      <c r="BD170" s="177" t="s">
        <v>109</v>
      </c>
      <c r="BE170" s="180" t="s">
        <v>1334</v>
      </c>
      <c r="BF170" s="180" t="s">
        <v>1207</v>
      </c>
      <c r="BG170" s="180" t="s">
        <v>1335</v>
      </c>
      <c r="BH170" s="177" t="s">
        <v>521</v>
      </c>
      <c r="BI170" s="177" t="s">
        <v>109</v>
      </c>
      <c r="BJ170" s="177" t="b">
        <v>0</v>
      </c>
      <c r="BK170" s="233">
        <v>162</v>
      </c>
      <c r="BL170" s="234" t="s">
        <v>128</v>
      </c>
      <c r="BM170" s="233">
        <v>1083.769808362</v>
      </c>
      <c r="BN170" s="233">
        <v>266.85876100000002</v>
      </c>
      <c r="BO170" s="233">
        <v>0</v>
      </c>
      <c r="BP170" s="233">
        <v>0</v>
      </c>
      <c r="BQ170" s="233">
        <v>0</v>
      </c>
      <c r="BR170" s="233">
        <v>0</v>
      </c>
      <c r="BS170" s="233">
        <v>0</v>
      </c>
      <c r="BT170" s="233">
        <v>0</v>
      </c>
      <c r="BU170" s="233">
        <v>0</v>
      </c>
      <c r="BV170" s="233">
        <v>0</v>
      </c>
      <c r="BW170" s="233">
        <v>0</v>
      </c>
      <c r="BX170" s="233">
        <v>0</v>
      </c>
      <c r="BY170" s="234">
        <v>0</v>
      </c>
      <c r="BZ170" s="236" t="s">
        <v>109</v>
      </c>
      <c r="CA170" s="236" t="s">
        <v>109</v>
      </c>
      <c r="CB170" s="236">
        <v>2020</v>
      </c>
      <c r="CC170" s="233">
        <v>1083.7698084000001</v>
      </c>
      <c r="CD170" s="233">
        <v>0</v>
      </c>
      <c r="CE170" s="233">
        <v>0</v>
      </c>
      <c r="CF170" s="233">
        <v>0</v>
      </c>
      <c r="CG170" s="233">
        <v>0</v>
      </c>
      <c r="CH170" s="233">
        <v>0</v>
      </c>
      <c r="CI170" s="233">
        <v>0</v>
      </c>
      <c r="CJ170" s="237">
        <v>0</v>
      </c>
      <c r="CK170" s="177" t="s">
        <v>128</v>
      </c>
      <c r="CL170" s="177" t="s">
        <v>128</v>
      </c>
      <c r="CM170" s="155" t="s">
        <v>109</v>
      </c>
      <c r="CN170" s="229">
        <v>0</v>
      </c>
      <c r="CO170" s="229">
        <v>1</v>
      </c>
      <c r="CP170" t="s">
        <v>480</v>
      </c>
      <c r="CR170" s="248"/>
    </row>
    <row r="171" spans="1:96" ht="14.4" x14ac:dyDescent="0.3">
      <c r="A171">
        <v>168</v>
      </c>
      <c r="B171" s="173" t="s">
        <v>1336</v>
      </c>
      <c r="C171" s="259"/>
      <c r="D171" s="260"/>
      <c r="E171" t="s">
        <v>329</v>
      </c>
      <c r="F171" t="s">
        <v>1337</v>
      </c>
      <c r="G171" s="177" t="s">
        <v>133</v>
      </c>
      <c r="H171" s="177" t="s">
        <v>113</v>
      </c>
      <c r="I171" s="177" t="s">
        <v>109</v>
      </c>
      <c r="J171" s="177" t="s">
        <v>109</v>
      </c>
      <c r="K171" s="177" t="s">
        <v>114</v>
      </c>
      <c r="L171" s="177" t="s">
        <v>159</v>
      </c>
      <c r="M171" s="177" t="s">
        <v>109</v>
      </c>
      <c r="N171" s="177" t="s">
        <v>109</v>
      </c>
      <c r="O171" s="180">
        <v>45749</v>
      </c>
      <c r="P171" s="177" t="s">
        <v>109</v>
      </c>
      <c r="Q171" s="177" t="s">
        <v>109</v>
      </c>
      <c r="R171" s="177" t="s">
        <v>109</v>
      </c>
      <c r="S171" s="177" t="s">
        <v>109</v>
      </c>
      <c r="T171" s="177" t="s">
        <v>116</v>
      </c>
      <c r="U171" s="177" t="s">
        <v>117</v>
      </c>
      <c r="V171" s="177" t="b">
        <v>0</v>
      </c>
      <c r="W171" s="177" t="s">
        <v>109</v>
      </c>
      <c r="X171" s="261"/>
      <c r="Y171" s="177" t="s">
        <v>109</v>
      </c>
      <c r="Z171" s="177" t="s">
        <v>109</v>
      </c>
      <c r="AA171" s="177" t="s">
        <v>215</v>
      </c>
      <c r="AB171" s="177" t="s">
        <v>434</v>
      </c>
      <c r="AC171" s="177">
        <v>4.3</v>
      </c>
      <c r="AD171" s="177" t="s">
        <v>1338</v>
      </c>
      <c r="AE171" s="177" t="s">
        <v>1319</v>
      </c>
      <c r="AF171" s="177">
        <v>1</v>
      </c>
      <c r="AG171" s="177">
        <v>16138</v>
      </c>
      <c r="AH171" s="177" t="s">
        <v>121</v>
      </c>
      <c r="AI171" s="177" t="b">
        <v>1</v>
      </c>
      <c r="AJ171" s="180">
        <v>44063</v>
      </c>
      <c r="AK171" s="177" t="s">
        <v>122</v>
      </c>
      <c r="AL171" s="177" t="s">
        <v>109</v>
      </c>
      <c r="AM171" s="177" t="s">
        <v>109</v>
      </c>
      <c r="AN171" s="177" t="b">
        <v>0</v>
      </c>
      <c r="AO171" s="177" t="s">
        <v>109</v>
      </c>
      <c r="AP171" s="177" t="s">
        <v>109</v>
      </c>
      <c r="AQ171" s="177" t="s">
        <v>109</v>
      </c>
      <c r="AR171" s="177" t="b">
        <v>0</v>
      </c>
      <c r="AS171" s="177" t="s">
        <v>123</v>
      </c>
      <c r="AT171" s="180" t="s">
        <v>123</v>
      </c>
      <c r="AU171" s="177" t="s">
        <v>109</v>
      </c>
      <c r="AV171" s="177" t="s">
        <v>109</v>
      </c>
      <c r="AW171" s="177" t="s">
        <v>118</v>
      </c>
      <c r="AX171" s="177" t="s">
        <v>118</v>
      </c>
      <c r="AY171" s="177" t="s">
        <v>135</v>
      </c>
      <c r="AZ171" s="177" t="s">
        <v>109</v>
      </c>
      <c r="BA171" s="177" t="s">
        <v>218</v>
      </c>
      <c r="BB171" s="177" t="s">
        <v>109</v>
      </c>
      <c r="BC171" s="177" t="s">
        <v>126</v>
      </c>
      <c r="BD171" s="177" t="s">
        <v>109</v>
      </c>
      <c r="BE171" s="180" t="s">
        <v>1339</v>
      </c>
      <c r="BF171" s="180" t="s">
        <v>1068</v>
      </c>
      <c r="BG171" s="180" t="s">
        <v>1340</v>
      </c>
      <c r="BH171" s="177" t="s">
        <v>521</v>
      </c>
      <c r="BI171" s="177" t="s">
        <v>109</v>
      </c>
      <c r="BJ171" s="177" t="b">
        <v>1</v>
      </c>
      <c r="BK171" s="233">
        <v>211.161</v>
      </c>
      <c r="BL171" s="234" t="s">
        <v>128</v>
      </c>
      <c r="BM171" s="233">
        <v>1479.8249436159999</v>
      </c>
      <c r="BN171" s="233">
        <v>112.398819</v>
      </c>
      <c r="BO171" s="233">
        <v>523.26609470000005</v>
      </c>
      <c r="BP171" s="233">
        <v>830.34204999999997</v>
      </c>
      <c r="BQ171" s="233">
        <v>12.317690000000001</v>
      </c>
      <c r="BR171" s="233">
        <v>2.2147999999999999</v>
      </c>
      <c r="BS171" s="233">
        <v>-0.71450999999999998</v>
      </c>
      <c r="BT171" s="233">
        <v>0</v>
      </c>
      <c r="BU171" s="233">
        <v>0</v>
      </c>
      <c r="BV171" s="233">
        <v>0</v>
      </c>
      <c r="BW171" s="233">
        <v>0</v>
      </c>
      <c r="BX171" s="233">
        <v>0</v>
      </c>
      <c r="BY171" s="234">
        <v>0</v>
      </c>
      <c r="BZ171" s="236" t="s">
        <v>109</v>
      </c>
      <c r="CA171" s="236" t="s">
        <v>109</v>
      </c>
      <c r="CB171" s="236" t="s">
        <v>842</v>
      </c>
      <c r="CC171" s="233">
        <v>0</v>
      </c>
      <c r="CD171" s="233">
        <v>5.8963599999999998E-2</v>
      </c>
      <c r="CE171" s="233">
        <v>1465.9480000000001</v>
      </c>
      <c r="CF171" s="233">
        <v>12.317690000000001</v>
      </c>
      <c r="CG171" s="233">
        <v>2.2147999999999999</v>
      </c>
      <c r="CH171" s="233">
        <v>-0.71450999999999998</v>
      </c>
      <c r="CI171" s="233">
        <v>0</v>
      </c>
      <c r="CJ171" s="237">
        <v>0</v>
      </c>
      <c r="CK171" s="177" t="s">
        <v>128</v>
      </c>
      <c r="CL171" s="177" t="s">
        <v>128</v>
      </c>
      <c r="CM171" s="155" t="s">
        <v>109</v>
      </c>
      <c r="CN171" s="229">
        <v>0</v>
      </c>
      <c r="CO171" s="229">
        <v>1</v>
      </c>
      <c r="CP171" t="s">
        <v>480</v>
      </c>
      <c r="CR171" s="248"/>
    </row>
    <row r="172" spans="1:96" ht="14.4" x14ac:dyDescent="0.3">
      <c r="A172">
        <v>169</v>
      </c>
      <c r="B172" s="173" t="s">
        <v>1341</v>
      </c>
      <c r="C172" s="259"/>
      <c r="D172" s="260"/>
      <c r="E172" t="s">
        <v>329</v>
      </c>
      <c r="F172" t="s">
        <v>1342</v>
      </c>
      <c r="G172" s="177" t="s">
        <v>439</v>
      </c>
      <c r="H172" s="177" t="s">
        <v>113</v>
      </c>
      <c r="I172" s="177" t="s">
        <v>109</v>
      </c>
      <c r="J172" s="177" t="s">
        <v>109</v>
      </c>
      <c r="K172" s="177" t="s">
        <v>114</v>
      </c>
      <c r="L172" s="177" t="s">
        <v>159</v>
      </c>
      <c r="M172" s="177" t="s">
        <v>109</v>
      </c>
      <c r="N172" s="177" t="s">
        <v>109</v>
      </c>
      <c r="O172" s="180">
        <v>45785</v>
      </c>
      <c r="P172" s="177" t="s">
        <v>109</v>
      </c>
      <c r="Q172" s="177" t="s">
        <v>109</v>
      </c>
      <c r="R172" s="177" t="s">
        <v>109</v>
      </c>
      <c r="S172" s="177" t="s">
        <v>109</v>
      </c>
      <c r="T172" s="177" t="s">
        <v>116</v>
      </c>
      <c r="U172" s="177" t="s">
        <v>117</v>
      </c>
      <c r="V172" s="177" t="b">
        <v>0</v>
      </c>
      <c r="W172" s="177" t="s">
        <v>109</v>
      </c>
      <c r="X172" s="261"/>
      <c r="Y172" s="177" t="s">
        <v>109</v>
      </c>
      <c r="Z172" s="176">
        <v>0.76</v>
      </c>
      <c r="AA172" s="177" t="s">
        <v>215</v>
      </c>
      <c r="AB172" s="177" t="s">
        <v>434</v>
      </c>
      <c r="AC172" s="177">
        <v>4.3</v>
      </c>
      <c r="AD172" s="177" t="s">
        <v>1343</v>
      </c>
      <c r="AE172" s="177" t="s">
        <v>1319</v>
      </c>
      <c r="AF172" s="177">
        <v>1</v>
      </c>
      <c r="AG172" s="177">
        <v>16138</v>
      </c>
      <c r="AH172" s="177" t="s">
        <v>121</v>
      </c>
      <c r="AI172" s="177" t="b">
        <v>1</v>
      </c>
      <c r="AJ172" s="180">
        <v>44063</v>
      </c>
      <c r="AK172" s="177" t="s">
        <v>122</v>
      </c>
      <c r="AL172" s="177" t="s">
        <v>109</v>
      </c>
      <c r="AM172" s="177" t="s">
        <v>109</v>
      </c>
      <c r="AN172" s="177" t="b">
        <v>0</v>
      </c>
      <c r="AO172" s="177" t="s">
        <v>109</v>
      </c>
      <c r="AP172" s="177" t="s">
        <v>109</v>
      </c>
      <c r="AQ172" s="177" t="s">
        <v>109</v>
      </c>
      <c r="AR172" s="177" t="b">
        <v>0</v>
      </c>
      <c r="AS172" s="177" t="s">
        <v>123</v>
      </c>
      <c r="AT172" s="180" t="s">
        <v>123</v>
      </c>
      <c r="AU172" s="177" t="s">
        <v>109</v>
      </c>
      <c r="AV172" s="177" t="s">
        <v>109</v>
      </c>
      <c r="AW172" s="177" t="s">
        <v>118</v>
      </c>
      <c r="AX172" s="177" t="s">
        <v>118</v>
      </c>
      <c r="AY172" s="177" t="s">
        <v>135</v>
      </c>
      <c r="AZ172" s="177" t="s">
        <v>109</v>
      </c>
      <c r="BA172" s="177" t="s">
        <v>218</v>
      </c>
      <c r="BB172" s="177" t="s">
        <v>109</v>
      </c>
      <c r="BC172" s="177" t="s">
        <v>126</v>
      </c>
      <c r="BD172" s="177" t="s">
        <v>109</v>
      </c>
      <c r="BE172" s="180" t="s">
        <v>1344</v>
      </c>
      <c r="BF172" s="180" t="s">
        <v>1068</v>
      </c>
      <c r="BG172" s="180" t="s">
        <v>1345</v>
      </c>
      <c r="BH172" s="177" t="s">
        <v>521</v>
      </c>
      <c r="BI172" s="177" t="s">
        <v>109</v>
      </c>
      <c r="BJ172" s="177" t="b">
        <v>1</v>
      </c>
      <c r="BK172" s="233">
        <v>1868.18334</v>
      </c>
      <c r="BL172" s="234" t="s">
        <v>128</v>
      </c>
      <c r="BM172" s="233">
        <v>2757.612163234</v>
      </c>
      <c r="BN172" s="233">
        <v>35.237533900000003</v>
      </c>
      <c r="BO172" s="233">
        <v>124.3884393</v>
      </c>
      <c r="BP172" s="233">
        <v>378.01220000000001</v>
      </c>
      <c r="BQ172" s="233">
        <v>235.68911</v>
      </c>
      <c r="BR172" s="233">
        <v>1985.44253</v>
      </c>
      <c r="BS172" s="233">
        <v>-1.1576500000000101</v>
      </c>
      <c r="BT172" s="233">
        <v>1.04591890703887E-14</v>
      </c>
      <c r="BU172" s="233">
        <v>0</v>
      </c>
      <c r="BV172" s="233">
        <v>0</v>
      </c>
      <c r="BW172" s="233">
        <v>0</v>
      </c>
      <c r="BX172" s="233">
        <v>0</v>
      </c>
      <c r="BY172" s="234">
        <v>0</v>
      </c>
      <c r="BZ172" s="236" t="s">
        <v>109</v>
      </c>
      <c r="CA172" s="236" t="s">
        <v>109</v>
      </c>
      <c r="CB172" s="236" t="s">
        <v>1346</v>
      </c>
      <c r="CC172" s="233">
        <v>0</v>
      </c>
      <c r="CD172" s="233">
        <v>1.8632E-3</v>
      </c>
      <c r="CE172" s="233">
        <v>0</v>
      </c>
      <c r="CF172" s="233">
        <v>0</v>
      </c>
      <c r="CG172" s="233">
        <v>2636.01748</v>
      </c>
      <c r="CH172" s="233">
        <v>121.59282</v>
      </c>
      <c r="CI172" s="233">
        <v>0</v>
      </c>
      <c r="CJ172" s="237">
        <v>0</v>
      </c>
      <c r="CK172" s="177" t="s">
        <v>128</v>
      </c>
      <c r="CL172" s="177" t="s">
        <v>128</v>
      </c>
      <c r="CM172" s="155" t="s">
        <v>109</v>
      </c>
      <c r="CN172" s="229">
        <v>0</v>
      </c>
      <c r="CO172" s="229">
        <v>1</v>
      </c>
      <c r="CP172" t="s">
        <v>480</v>
      </c>
      <c r="CR172" s="248"/>
    </row>
    <row r="173" spans="1:96" ht="43.2" x14ac:dyDescent="0.3">
      <c r="A173">
        <v>170</v>
      </c>
      <c r="B173" s="173" t="s">
        <v>1347</v>
      </c>
      <c r="C173" s="259"/>
      <c r="D173" s="260"/>
      <c r="E173" t="s">
        <v>191</v>
      </c>
      <c r="F173" t="s">
        <v>1321</v>
      </c>
      <c r="G173" s="177" t="s">
        <v>133</v>
      </c>
      <c r="H173" s="177" t="s">
        <v>113</v>
      </c>
      <c r="I173" s="177" t="s">
        <v>109</v>
      </c>
      <c r="J173" s="177" t="s">
        <v>109</v>
      </c>
      <c r="K173" s="177" t="s">
        <v>114</v>
      </c>
      <c r="L173" s="177" t="s">
        <v>159</v>
      </c>
      <c r="M173" s="177" t="s">
        <v>109</v>
      </c>
      <c r="N173" s="177" t="s">
        <v>109</v>
      </c>
      <c r="O173" s="180" t="s">
        <v>109</v>
      </c>
      <c r="P173" s="177" t="s">
        <v>109</v>
      </c>
      <c r="Q173" s="177" t="s">
        <v>109</v>
      </c>
      <c r="R173" s="177" t="s">
        <v>109</v>
      </c>
      <c r="S173" s="177" t="s">
        <v>109</v>
      </c>
      <c r="T173" s="177" t="s">
        <v>116</v>
      </c>
      <c r="U173" s="177" t="s">
        <v>117</v>
      </c>
      <c r="V173" s="177" t="b">
        <v>0</v>
      </c>
      <c r="W173" s="177" t="s">
        <v>109</v>
      </c>
      <c r="X173" s="261"/>
      <c r="Y173" s="177" t="s">
        <v>109</v>
      </c>
      <c r="Z173" s="177" t="s">
        <v>109</v>
      </c>
      <c r="AA173" s="177" t="s">
        <v>119</v>
      </c>
      <c r="AB173" s="177" t="s">
        <v>434</v>
      </c>
      <c r="AC173" s="177">
        <v>4.3</v>
      </c>
      <c r="AD173" s="177" t="s">
        <v>119</v>
      </c>
      <c r="AE173" s="177" t="s">
        <v>1319</v>
      </c>
      <c r="AF173" s="177">
        <v>1</v>
      </c>
      <c r="AG173" s="177">
        <v>16138</v>
      </c>
      <c r="AH173" s="177" t="s">
        <v>121</v>
      </c>
      <c r="AI173" s="177" t="b">
        <v>1</v>
      </c>
      <c r="AJ173" s="180">
        <v>44243</v>
      </c>
      <c r="AK173" s="177" t="s">
        <v>122</v>
      </c>
      <c r="AL173" s="177" t="s">
        <v>109</v>
      </c>
      <c r="AM173" s="177" t="s">
        <v>109</v>
      </c>
      <c r="AN173" s="177" t="b">
        <v>0</v>
      </c>
      <c r="AO173" s="177" t="s">
        <v>109</v>
      </c>
      <c r="AP173" s="177" t="s">
        <v>109</v>
      </c>
      <c r="AQ173" s="177" t="s">
        <v>109</v>
      </c>
      <c r="AR173" s="177" t="b">
        <v>0</v>
      </c>
      <c r="AS173" s="177" t="s">
        <v>123</v>
      </c>
      <c r="AT173" s="180" t="s">
        <v>123</v>
      </c>
      <c r="AU173" s="177" t="s">
        <v>109</v>
      </c>
      <c r="AV173" s="177" t="s">
        <v>109</v>
      </c>
      <c r="AW173" s="177" t="s">
        <v>118</v>
      </c>
      <c r="AX173" s="177" t="s">
        <v>118</v>
      </c>
      <c r="AY173" s="177" t="s">
        <v>135</v>
      </c>
      <c r="AZ173" s="177" t="s">
        <v>109</v>
      </c>
      <c r="BA173" s="177" t="s">
        <v>218</v>
      </c>
      <c r="BB173" s="177" t="s">
        <v>109</v>
      </c>
      <c r="BC173" s="177" t="s">
        <v>126</v>
      </c>
      <c r="BD173" s="177" t="s">
        <v>109</v>
      </c>
      <c r="BE173" s="180" t="s">
        <v>109</v>
      </c>
      <c r="BF173" s="180" t="s">
        <v>1068</v>
      </c>
      <c r="BG173" s="180">
        <v>44561</v>
      </c>
      <c r="BH173" s="177" t="s">
        <v>109</v>
      </c>
      <c r="BI173" s="177" t="s">
        <v>109</v>
      </c>
      <c r="BJ173" s="177" t="b">
        <v>0</v>
      </c>
      <c r="BK173" s="233">
        <v>1512.75802</v>
      </c>
      <c r="BL173" s="234" t="s">
        <v>128</v>
      </c>
      <c r="BM173" s="233">
        <v>1930.4759799999999</v>
      </c>
      <c r="BN173" s="233">
        <v>0</v>
      </c>
      <c r="BO173" s="233">
        <v>1876.34376</v>
      </c>
      <c r="BP173" s="233">
        <v>54.132219999999997</v>
      </c>
      <c r="BQ173" s="233">
        <v>0</v>
      </c>
      <c r="BR173" s="233">
        <v>0</v>
      </c>
      <c r="BS173" s="233">
        <v>0</v>
      </c>
      <c r="BT173" s="233">
        <v>0</v>
      </c>
      <c r="BU173" s="233">
        <v>0</v>
      </c>
      <c r="BV173" s="233">
        <v>0</v>
      </c>
      <c r="BW173" s="233">
        <v>0</v>
      </c>
      <c r="BX173" s="233">
        <v>0</v>
      </c>
      <c r="BY173" s="234">
        <v>0</v>
      </c>
      <c r="BZ173" s="236" t="s">
        <v>109</v>
      </c>
      <c r="CA173" s="236" t="s">
        <v>109</v>
      </c>
      <c r="CB173" s="236">
        <v>2022</v>
      </c>
      <c r="CC173" s="233">
        <v>0</v>
      </c>
      <c r="CD173" s="233">
        <v>0</v>
      </c>
      <c r="CE173" s="233">
        <v>1930.4759799999999</v>
      </c>
      <c r="CF173" s="233">
        <v>0</v>
      </c>
      <c r="CG173" s="233">
        <v>0</v>
      </c>
      <c r="CH173" s="233">
        <v>0</v>
      </c>
      <c r="CI173" s="233">
        <v>0</v>
      </c>
      <c r="CJ173" s="237">
        <v>0</v>
      </c>
      <c r="CK173" s="177" t="s">
        <v>128</v>
      </c>
      <c r="CL173" s="177" t="s">
        <v>128</v>
      </c>
      <c r="CM173" s="155" t="s">
        <v>109</v>
      </c>
      <c r="CN173" s="229">
        <v>0.13550000000000001</v>
      </c>
      <c r="CO173" s="229">
        <v>0.86450000000000005</v>
      </c>
      <c r="CP173" s="138" t="s">
        <v>1348</v>
      </c>
      <c r="CR173" s="248"/>
    </row>
    <row r="174" spans="1:96" ht="14.4" x14ac:dyDescent="0.3">
      <c r="A174">
        <v>171</v>
      </c>
      <c r="B174" s="173" t="s">
        <v>1349</v>
      </c>
      <c r="C174" s="259"/>
      <c r="D174" s="260"/>
      <c r="E174" t="s">
        <v>1060</v>
      </c>
      <c r="F174" t="s">
        <v>1350</v>
      </c>
      <c r="G174" s="177" t="s">
        <v>111</v>
      </c>
      <c r="H174" s="177" t="s">
        <v>113</v>
      </c>
      <c r="I174" s="177" t="s">
        <v>109</v>
      </c>
      <c r="J174" s="177" t="s">
        <v>109</v>
      </c>
      <c r="K174" s="177" t="s">
        <v>114</v>
      </c>
      <c r="L174" s="177" t="s">
        <v>159</v>
      </c>
      <c r="M174" s="177" t="s">
        <v>109</v>
      </c>
      <c r="N174" s="177" t="s">
        <v>109</v>
      </c>
      <c r="O174" s="180">
        <v>45768</v>
      </c>
      <c r="P174" s="177" t="s">
        <v>109</v>
      </c>
      <c r="Q174" s="177" t="s">
        <v>109</v>
      </c>
      <c r="R174" s="177" t="s">
        <v>109</v>
      </c>
      <c r="S174" s="177" t="s">
        <v>109</v>
      </c>
      <c r="T174" s="177" t="s">
        <v>200</v>
      </c>
      <c r="U174" s="177" t="s">
        <v>117</v>
      </c>
      <c r="V174" s="177" t="b">
        <v>0</v>
      </c>
      <c r="W174" s="177" t="s">
        <v>109</v>
      </c>
      <c r="X174" s="261"/>
      <c r="Y174" s="177" t="s">
        <v>118</v>
      </c>
      <c r="Z174" s="176">
        <v>5.14</v>
      </c>
      <c r="AA174" s="177" t="s">
        <v>1351</v>
      </c>
      <c r="AB174" s="177" t="s">
        <v>434</v>
      </c>
      <c r="AC174" s="177">
        <v>4.3</v>
      </c>
      <c r="AD174" s="177" t="s">
        <v>1352</v>
      </c>
      <c r="AE174" s="177" t="s">
        <v>1319</v>
      </c>
      <c r="AF174" s="177">
        <v>1</v>
      </c>
      <c r="AG174" s="177">
        <v>16138</v>
      </c>
      <c r="AH174" s="177" t="s">
        <v>121</v>
      </c>
      <c r="AI174" s="177" t="b">
        <v>1</v>
      </c>
      <c r="AJ174" s="180">
        <v>45225</v>
      </c>
      <c r="AK174" s="177" t="s">
        <v>122</v>
      </c>
      <c r="AL174" s="177">
        <v>2023</v>
      </c>
      <c r="AM174" s="177" t="s">
        <v>109</v>
      </c>
      <c r="AN174" s="179" t="b">
        <v>0</v>
      </c>
      <c r="AO174" s="177" t="s">
        <v>109</v>
      </c>
      <c r="AP174" s="177" t="s">
        <v>109</v>
      </c>
      <c r="AQ174" s="177" t="s">
        <v>109</v>
      </c>
      <c r="AR174" s="177" t="b">
        <v>0</v>
      </c>
      <c r="AS174" s="177" t="s">
        <v>123</v>
      </c>
      <c r="AT174" s="180" t="s">
        <v>109</v>
      </c>
      <c r="AU174" s="177" t="s">
        <v>124</v>
      </c>
      <c r="AV174" s="177" t="s">
        <v>109</v>
      </c>
      <c r="AW174" s="177" t="s">
        <v>195</v>
      </c>
      <c r="AX174" s="177" t="s">
        <v>109</v>
      </c>
      <c r="AY174" s="177" t="s">
        <v>135</v>
      </c>
      <c r="AZ174" s="177" t="s">
        <v>109</v>
      </c>
      <c r="BA174" s="177" t="s">
        <v>218</v>
      </c>
      <c r="BB174" s="177" t="s">
        <v>109</v>
      </c>
      <c r="BC174" s="177" t="s">
        <v>296</v>
      </c>
      <c r="BD174" s="177" t="s">
        <v>109</v>
      </c>
      <c r="BE174" s="181" t="s">
        <v>1353</v>
      </c>
      <c r="BF174" s="180" t="s">
        <v>109</v>
      </c>
      <c r="BG174" s="180" t="s">
        <v>1354</v>
      </c>
      <c r="BH174" s="177" t="s">
        <v>109</v>
      </c>
      <c r="BI174" s="177" t="s">
        <v>109</v>
      </c>
      <c r="BJ174" s="177" t="b">
        <v>1</v>
      </c>
      <c r="BK174" s="233">
        <v>395.31531999999999</v>
      </c>
      <c r="BL174" s="234" t="s">
        <v>128</v>
      </c>
      <c r="BM174" s="236">
        <v>1127.5541960139001</v>
      </c>
      <c r="BN174" s="236">
        <v>0</v>
      </c>
      <c r="BO174" s="236">
        <v>0</v>
      </c>
      <c r="BP174" s="236">
        <v>0.95669999999999999</v>
      </c>
      <c r="BQ174" s="236">
        <v>45.875369999999997</v>
      </c>
      <c r="BR174" s="236">
        <v>274.58625000000001</v>
      </c>
      <c r="BS174" s="236">
        <v>76.107159999999993</v>
      </c>
      <c r="BT174" s="236">
        <v>730.02871600000003</v>
      </c>
      <c r="BU174" s="236">
        <v>0</v>
      </c>
      <c r="BV174" s="236">
        <v>0</v>
      </c>
      <c r="BW174" s="236">
        <v>0</v>
      </c>
      <c r="BX174" s="236">
        <v>0</v>
      </c>
      <c r="BY174" s="234">
        <v>398</v>
      </c>
      <c r="BZ174" s="236" t="s">
        <v>109</v>
      </c>
      <c r="CA174" s="236" t="s">
        <v>109</v>
      </c>
      <c r="CB174" s="236">
        <v>2025</v>
      </c>
      <c r="CC174" s="236">
        <v>0</v>
      </c>
      <c r="CD174" s="236">
        <v>0</v>
      </c>
      <c r="CE174" s="236">
        <v>0</v>
      </c>
      <c r="CF174" s="236">
        <v>0</v>
      </c>
      <c r="CG174" s="236">
        <v>0</v>
      </c>
      <c r="CH174" s="236">
        <v>0</v>
      </c>
      <c r="CI174" s="236">
        <v>1127.554196</v>
      </c>
      <c r="CJ174" s="237">
        <v>0</v>
      </c>
      <c r="CK174" s="177" t="s">
        <v>128</v>
      </c>
      <c r="CL174" s="177" t="s">
        <v>128</v>
      </c>
      <c r="CM174" s="155" t="s">
        <v>109</v>
      </c>
      <c r="CN174" s="229">
        <v>1</v>
      </c>
      <c r="CO174" s="229">
        <v>0</v>
      </c>
      <c r="CP174" t="s">
        <v>480</v>
      </c>
      <c r="CR174" s="248"/>
    </row>
    <row r="175" spans="1:96" ht="14.4" x14ac:dyDescent="0.3">
      <c r="A175">
        <v>172</v>
      </c>
      <c r="B175" s="173" t="s">
        <v>1356</v>
      </c>
      <c r="C175" s="259"/>
      <c r="D175" s="260"/>
      <c r="E175" t="s">
        <v>329</v>
      </c>
      <c r="F175" t="s">
        <v>1357</v>
      </c>
      <c r="G175" s="177" t="s">
        <v>811</v>
      </c>
      <c r="H175" s="177" t="s">
        <v>146</v>
      </c>
      <c r="I175" s="177" t="s">
        <v>109</v>
      </c>
      <c r="J175" s="177" t="s">
        <v>109</v>
      </c>
      <c r="K175" s="177" t="s">
        <v>662</v>
      </c>
      <c r="L175" s="177" t="s">
        <v>303</v>
      </c>
      <c r="M175" s="177" t="s">
        <v>109</v>
      </c>
      <c r="N175" s="177" t="s">
        <v>109</v>
      </c>
      <c r="O175" s="180">
        <v>45670</v>
      </c>
      <c r="P175" s="177" t="s">
        <v>109</v>
      </c>
      <c r="Q175" s="177" t="s">
        <v>109</v>
      </c>
      <c r="R175" s="177" t="s">
        <v>109</v>
      </c>
      <c r="S175" s="177" t="s">
        <v>109</v>
      </c>
      <c r="T175" s="177" t="s">
        <v>404</v>
      </c>
      <c r="U175" s="177" t="s">
        <v>117</v>
      </c>
      <c r="V175" s="177" t="b">
        <v>0</v>
      </c>
      <c r="W175" s="177" t="s">
        <v>109</v>
      </c>
      <c r="X175" s="261"/>
      <c r="Y175" s="177">
        <v>2.9734590000000001</v>
      </c>
      <c r="Z175" s="177" t="s">
        <v>118</v>
      </c>
      <c r="AA175" s="177">
        <v>230</v>
      </c>
      <c r="AB175" s="177" t="s">
        <v>109</v>
      </c>
      <c r="AC175" s="177">
        <v>1.2</v>
      </c>
      <c r="AD175" s="177" t="s">
        <v>1358</v>
      </c>
      <c r="AE175" s="177" t="s">
        <v>1359</v>
      </c>
      <c r="AF175" s="177">
        <v>1</v>
      </c>
      <c r="AG175" s="177">
        <v>16150</v>
      </c>
      <c r="AH175" s="177" t="s">
        <v>121</v>
      </c>
      <c r="AI175" s="177" t="b">
        <v>1</v>
      </c>
      <c r="AJ175" s="180">
        <v>45103</v>
      </c>
      <c r="AK175" s="177" t="s">
        <v>122</v>
      </c>
      <c r="AL175" s="177">
        <v>2017</v>
      </c>
      <c r="AM175" s="177" t="s">
        <v>118</v>
      </c>
      <c r="AN175" s="177" t="b">
        <v>0</v>
      </c>
      <c r="AO175" s="177" t="s">
        <v>118</v>
      </c>
      <c r="AP175" s="177" t="s">
        <v>118</v>
      </c>
      <c r="AQ175" s="177" t="s">
        <v>118</v>
      </c>
      <c r="AR175" s="177" t="b">
        <v>0</v>
      </c>
      <c r="AS175" s="177" t="s">
        <v>123</v>
      </c>
      <c r="AT175" s="180" t="s">
        <v>123</v>
      </c>
      <c r="AU175" s="177" t="s">
        <v>124</v>
      </c>
      <c r="AV175" s="177" t="s">
        <v>109</v>
      </c>
      <c r="AW175" s="177" t="s">
        <v>118</v>
      </c>
      <c r="AX175" s="177" t="s">
        <v>118</v>
      </c>
      <c r="AY175" s="177" t="s">
        <v>135</v>
      </c>
      <c r="AZ175" s="177" t="s">
        <v>109</v>
      </c>
      <c r="BA175" s="177" t="s">
        <v>494</v>
      </c>
      <c r="BB175" s="177">
        <v>2018</v>
      </c>
      <c r="BC175" s="177" t="s">
        <v>126</v>
      </c>
      <c r="BD175" s="177" t="s">
        <v>109</v>
      </c>
      <c r="BE175" s="180" t="s">
        <v>1360</v>
      </c>
      <c r="BF175" s="180" t="s">
        <v>1068</v>
      </c>
      <c r="BG175" s="180" t="s">
        <v>556</v>
      </c>
      <c r="BH175" s="177" t="s">
        <v>109</v>
      </c>
      <c r="BI175" s="177" t="s">
        <v>109</v>
      </c>
      <c r="BJ175" s="177" t="b">
        <v>0</v>
      </c>
      <c r="BK175" s="233">
        <v>22646.466</v>
      </c>
      <c r="BL175" s="234" t="s">
        <v>128</v>
      </c>
      <c r="BM175" s="233">
        <v>28936.157022283001</v>
      </c>
      <c r="BN175" s="233">
        <v>10511.9186892</v>
      </c>
      <c r="BO175" s="233">
        <v>123.432845</v>
      </c>
      <c r="BP175" s="233">
        <v>0.60204000000000002</v>
      </c>
      <c r="BQ175" s="233">
        <v>0</v>
      </c>
      <c r="BR175" s="233">
        <v>0</v>
      </c>
      <c r="BS175" s="233">
        <v>0</v>
      </c>
      <c r="BT175" s="233">
        <v>0</v>
      </c>
      <c r="BU175" s="233">
        <v>0</v>
      </c>
      <c r="BV175" s="233">
        <v>0</v>
      </c>
      <c r="BW175" s="233">
        <v>0</v>
      </c>
      <c r="BX175" s="233">
        <v>0</v>
      </c>
      <c r="BY175" s="234">
        <v>0</v>
      </c>
      <c r="BZ175" s="236" t="s">
        <v>109</v>
      </c>
      <c r="CA175" s="236" t="s">
        <v>109</v>
      </c>
      <c r="CB175" s="236" t="s">
        <v>157</v>
      </c>
      <c r="CC175" s="233">
        <v>28812.122137300001</v>
      </c>
      <c r="CD175" s="233">
        <v>123.432845</v>
      </c>
      <c r="CE175" s="233">
        <v>0.60204000000000002</v>
      </c>
      <c r="CF175" s="233">
        <v>0</v>
      </c>
      <c r="CG175" s="233">
        <v>0</v>
      </c>
      <c r="CH175" s="233">
        <v>0</v>
      </c>
      <c r="CI175" s="233">
        <v>0</v>
      </c>
      <c r="CJ175" s="177" t="s">
        <v>128</v>
      </c>
      <c r="CK175" s="177" t="s">
        <v>128</v>
      </c>
      <c r="CL175" s="177" t="s">
        <v>128</v>
      </c>
      <c r="CM175" s="155" t="s">
        <v>109</v>
      </c>
      <c r="CN175" s="229">
        <v>1</v>
      </c>
      <c r="CO175" s="229">
        <v>0</v>
      </c>
      <c r="CP175" t="s">
        <v>155</v>
      </c>
      <c r="CR175" s="248"/>
    </row>
    <row r="176" spans="1:96" ht="43.2" x14ac:dyDescent="0.3">
      <c r="A176">
        <v>173</v>
      </c>
      <c r="B176" s="173" t="s">
        <v>1362</v>
      </c>
      <c r="C176" s="259"/>
      <c r="D176" s="260"/>
      <c r="E176" t="s">
        <v>1363</v>
      </c>
      <c r="F176" t="s">
        <v>1364</v>
      </c>
      <c r="G176" s="177" t="s">
        <v>811</v>
      </c>
      <c r="H176" s="177" t="s">
        <v>112</v>
      </c>
      <c r="I176" s="177" t="s">
        <v>109</v>
      </c>
      <c r="J176" s="177" t="s">
        <v>109</v>
      </c>
      <c r="K176" s="177" t="s">
        <v>192</v>
      </c>
      <c r="L176" s="177" t="s">
        <v>904</v>
      </c>
      <c r="M176" s="177" t="s">
        <v>505</v>
      </c>
      <c r="N176" s="177" t="s">
        <v>109</v>
      </c>
      <c r="O176" s="180" t="s">
        <v>109</v>
      </c>
      <c r="P176" s="177" t="s">
        <v>109</v>
      </c>
      <c r="Q176" s="177" t="s">
        <v>508</v>
      </c>
      <c r="R176" s="177" t="s">
        <v>1036</v>
      </c>
      <c r="S176" s="177" t="s">
        <v>109</v>
      </c>
      <c r="T176" s="177" t="s">
        <v>404</v>
      </c>
      <c r="U176" s="177" t="s">
        <v>117</v>
      </c>
      <c r="V176" s="177" t="b">
        <v>0</v>
      </c>
      <c r="W176" s="177" t="s">
        <v>487</v>
      </c>
      <c r="X176" s="261"/>
      <c r="Y176" s="177">
        <v>9.8716249999999999</v>
      </c>
      <c r="Z176" s="177" t="s">
        <v>118</v>
      </c>
      <c r="AA176" s="177">
        <v>230</v>
      </c>
      <c r="AB176" s="177" t="s">
        <v>109</v>
      </c>
      <c r="AC176" s="177">
        <v>2.1</v>
      </c>
      <c r="AD176" s="177" t="s">
        <v>1365</v>
      </c>
      <c r="AE176" s="177" t="s">
        <v>1366</v>
      </c>
      <c r="AF176" s="177">
        <v>1</v>
      </c>
      <c r="AG176" s="177">
        <v>16157</v>
      </c>
      <c r="AH176" s="177" t="s">
        <v>121</v>
      </c>
      <c r="AI176" s="177" t="b">
        <v>0</v>
      </c>
      <c r="AJ176" s="180" t="s">
        <v>109</v>
      </c>
      <c r="AK176" s="177" t="s">
        <v>122</v>
      </c>
      <c r="AL176" s="177">
        <v>2017</v>
      </c>
      <c r="AM176" s="177">
        <v>2015</v>
      </c>
      <c r="AN176" s="177" t="b">
        <v>0</v>
      </c>
      <c r="AO176" s="177">
        <v>2016</v>
      </c>
      <c r="AP176" s="177" t="s">
        <v>109</v>
      </c>
      <c r="AQ176" s="177" t="s">
        <v>1367</v>
      </c>
      <c r="AR176" s="177" t="b">
        <v>0</v>
      </c>
      <c r="AS176" s="177" t="s">
        <v>109</v>
      </c>
      <c r="AT176" s="180" t="s">
        <v>118</v>
      </c>
      <c r="AU176" s="177" t="s">
        <v>124</v>
      </c>
      <c r="AV176" s="177" t="s">
        <v>109</v>
      </c>
      <c r="AW176" s="177" t="s">
        <v>118</v>
      </c>
      <c r="AX176" s="177" t="s">
        <v>118</v>
      </c>
      <c r="AY176" s="177" t="s">
        <v>135</v>
      </c>
      <c r="AZ176" s="177" t="s">
        <v>109</v>
      </c>
      <c r="BA176" s="177" t="s">
        <v>218</v>
      </c>
      <c r="BB176" s="177" t="s">
        <v>109</v>
      </c>
      <c r="BC176" s="177" t="s">
        <v>126</v>
      </c>
      <c r="BD176" s="177" t="s">
        <v>109</v>
      </c>
      <c r="BE176" s="180" t="s">
        <v>1368</v>
      </c>
      <c r="BF176" s="180" t="s">
        <v>1369</v>
      </c>
      <c r="BG176" s="180" t="s">
        <v>1370</v>
      </c>
      <c r="BH176" s="177" t="s">
        <v>699</v>
      </c>
      <c r="BI176" s="177" t="s">
        <v>521</v>
      </c>
      <c r="BJ176" s="177" t="b">
        <v>0</v>
      </c>
      <c r="BK176" s="233">
        <v>24499.998</v>
      </c>
      <c r="BL176" s="234" t="s">
        <v>128</v>
      </c>
      <c r="BM176" s="233">
        <v>21464.975216456001</v>
      </c>
      <c r="BN176" s="233">
        <v>691.6826595</v>
      </c>
      <c r="BO176" s="233">
        <v>39.442880000000002</v>
      </c>
      <c r="BP176" s="233">
        <v>7.5900000000000004E-3</v>
      </c>
      <c r="BQ176" s="233">
        <v>0</v>
      </c>
      <c r="BR176" s="233">
        <v>-1.8421700000000001</v>
      </c>
      <c r="BS176" s="233">
        <v>0</v>
      </c>
      <c r="BT176" s="233">
        <v>0</v>
      </c>
      <c r="BU176" s="233">
        <v>0</v>
      </c>
      <c r="BV176" s="233">
        <v>0</v>
      </c>
      <c r="BW176" s="233">
        <v>0</v>
      </c>
      <c r="BX176" s="233">
        <v>0</v>
      </c>
      <c r="BY176" s="234">
        <v>0</v>
      </c>
      <c r="BZ176" s="236" t="s">
        <v>109</v>
      </c>
      <c r="CA176" s="236" t="s">
        <v>109</v>
      </c>
      <c r="CB176" s="236" t="s">
        <v>683</v>
      </c>
      <c r="CC176" s="233">
        <v>691.6826595</v>
      </c>
      <c r="CD176" s="233">
        <v>39.442880000000002</v>
      </c>
      <c r="CE176" s="233">
        <v>7.5900000000000004E-3</v>
      </c>
      <c r="CF176" s="233">
        <v>0</v>
      </c>
      <c r="CG176" s="233">
        <v>-1.8421700000000001</v>
      </c>
      <c r="CH176" s="233">
        <v>0</v>
      </c>
      <c r="CI176" s="233">
        <v>0</v>
      </c>
      <c r="CJ176" s="237">
        <v>0</v>
      </c>
      <c r="CK176" s="177" t="s">
        <v>128</v>
      </c>
      <c r="CL176" s="177" t="s">
        <v>128</v>
      </c>
      <c r="CM176" s="155" t="s">
        <v>109</v>
      </c>
      <c r="CN176" s="229">
        <v>1</v>
      </c>
      <c r="CO176" s="229">
        <v>0</v>
      </c>
      <c r="CP176" s="138" t="s">
        <v>1371</v>
      </c>
      <c r="CR176" s="248"/>
    </row>
    <row r="177" spans="1:96" ht="14.4" x14ac:dyDescent="0.3">
      <c r="A177">
        <v>174</v>
      </c>
      <c r="B177" s="173" t="s">
        <v>1372</v>
      </c>
      <c r="C177" s="259"/>
      <c r="D177" s="260"/>
      <c r="E177" t="s">
        <v>329</v>
      </c>
      <c r="F177" t="s">
        <v>1373</v>
      </c>
      <c r="G177" s="177" t="s">
        <v>811</v>
      </c>
      <c r="H177" s="177" t="s">
        <v>113</v>
      </c>
      <c r="I177" s="177" t="s">
        <v>109</v>
      </c>
      <c r="J177" s="177" t="s">
        <v>109</v>
      </c>
      <c r="K177" s="177" t="s">
        <v>704</v>
      </c>
      <c r="L177" s="177" t="s">
        <v>896</v>
      </c>
      <c r="M177" s="177" t="s">
        <v>505</v>
      </c>
      <c r="N177" s="177" t="s">
        <v>109</v>
      </c>
      <c r="O177" s="180">
        <v>45699</v>
      </c>
      <c r="P177" s="177" t="s">
        <v>1374</v>
      </c>
      <c r="Q177" s="177" t="s">
        <v>508</v>
      </c>
      <c r="R177" s="177" t="s">
        <v>509</v>
      </c>
      <c r="S177" s="177" t="s">
        <v>109</v>
      </c>
      <c r="T177" s="177" t="s">
        <v>116</v>
      </c>
      <c r="U177" s="177" t="s">
        <v>117</v>
      </c>
      <c r="V177" s="177" t="b">
        <v>0</v>
      </c>
      <c r="W177" s="177" t="s">
        <v>487</v>
      </c>
      <c r="X177" s="261"/>
      <c r="Y177" s="177">
        <v>1.9028400000000001</v>
      </c>
      <c r="Z177" s="177" t="s">
        <v>118</v>
      </c>
      <c r="AA177" s="177">
        <v>69</v>
      </c>
      <c r="AB177" s="177" t="s">
        <v>109</v>
      </c>
      <c r="AC177" s="177">
        <v>2.1</v>
      </c>
      <c r="AD177" s="177" t="s">
        <v>1375</v>
      </c>
      <c r="AE177" s="177" t="s">
        <v>1376</v>
      </c>
      <c r="AF177" s="177">
        <v>1</v>
      </c>
      <c r="AG177" s="177">
        <v>16158</v>
      </c>
      <c r="AH177" s="177" t="s">
        <v>121</v>
      </c>
      <c r="AI177" s="177" t="b">
        <v>0</v>
      </c>
      <c r="AJ177" s="180" t="s">
        <v>109</v>
      </c>
      <c r="AK177" s="177" t="s">
        <v>122</v>
      </c>
      <c r="AL177" s="177">
        <v>2017</v>
      </c>
      <c r="AM177" s="177">
        <v>2016</v>
      </c>
      <c r="AN177" s="177" t="b">
        <v>0</v>
      </c>
      <c r="AO177" s="177">
        <v>2016</v>
      </c>
      <c r="AP177" s="177" t="s">
        <v>109</v>
      </c>
      <c r="AQ177" s="177" t="s">
        <v>1367</v>
      </c>
      <c r="AR177" s="177" t="b">
        <v>0</v>
      </c>
      <c r="AS177" s="177" t="s">
        <v>123</v>
      </c>
      <c r="AT177" s="180" t="s">
        <v>123</v>
      </c>
      <c r="AU177" s="177" t="s">
        <v>124</v>
      </c>
      <c r="AV177" s="177" t="s">
        <v>109</v>
      </c>
      <c r="AW177" s="177" t="s">
        <v>109</v>
      </c>
      <c r="AX177" s="177" t="s">
        <v>109</v>
      </c>
      <c r="AY177" s="177" t="s">
        <v>135</v>
      </c>
      <c r="AZ177" s="177" t="s">
        <v>109</v>
      </c>
      <c r="BA177" s="177" t="s">
        <v>494</v>
      </c>
      <c r="BB177" s="177">
        <v>2023</v>
      </c>
      <c r="BC177" s="177" t="s">
        <v>126</v>
      </c>
      <c r="BD177" s="177" t="s">
        <v>109</v>
      </c>
      <c r="BE177" s="180" t="s">
        <v>1377</v>
      </c>
      <c r="BF177" s="180" t="s">
        <v>1369</v>
      </c>
      <c r="BG177" s="180" t="s">
        <v>1378</v>
      </c>
      <c r="BH177" s="177" t="s">
        <v>699</v>
      </c>
      <c r="BI177" s="177" t="s">
        <v>1379</v>
      </c>
      <c r="BJ177" s="177" t="b">
        <v>1</v>
      </c>
      <c r="BK177" s="233">
        <v>544.99999000000003</v>
      </c>
      <c r="BL177" s="234" t="s">
        <v>128</v>
      </c>
      <c r="BM177" s="254">
        <v>32762.489000000001</v>
      </c>
      <c r="BN177" s="254">
        <v>5.6003299999999996</v>
      </c>
      <c r="BO177" s="254">
        <v>5495.8969999999999</v>
      </c>
      <c r="BP177" s="254">
        <v>773.04690000000005</v>
      </c>
      <c r="BQ177" s="254">
        <v>8170.9024300000001</v>
      </c>
      <c r="BR177" s="254">
        <v>15142.497822000003</v>
      </c>
      <c r="BS177" s="254">
        <v>-1147.4008539999998</v>
      </c>
      <c r="BT177" s="254">
        <v>3722.5842671999994</v>
      </c>
      <c r="BU177" s="254">
        <v>0</v>
      </c>
      <c r="BV177" s="254">
        <v>0</v>
      </c>
      <c r="BW177" s="254">
        <v>0</v>
      </c>
      <c r="BX177" s="254">
        <v>0</v>
      </c>
      <c r="BY177" s="255">
        <v>0</v>
      </c>
      <c r="BZ177" s="236" t="s">
        <v>109</v>
      </c>
      <c r="CA177" s="236" t="s">
        <v>109</v>
      </c>
      <c r="CB177" s="236" t="s">
        <v>196</v>
      </c>
      <c r="CC177" s="254">
        <v>0</v>
      </c>
      <c r="CD177" s="254">
        <v>0</v>
      </c>
      <c r="CE177" s="254">
        <v>0</v>
      </c>
      <c r="CF177" s="254">
        <v>0</v>
      </c>
      <c r="CG177" s="254">
        <v>30187.305401999998</v>
      </c>
      <c r="CH177" s="254">
        <v>-1147.4008539999998</v>
      </c>
      <c r="CI177" s="254">
        <v>3722.5842671999994</v>
      </c>
      <c r="CJ177" s="237">
        <v>0</v>
      </c>
      <c r="CK177" s="177" t="s">
        <v>128</v>
      </c>
      <c r="CL177" s="177" t="s">
        <v>128</v>
      </c>
      <c r="CM177" s="155" t="s">
        <v>109</v>
      </c>
      <c r="CN177" s="229">
        <v>0</v>
      </c>
      <c r="CO177" s="229">
        <v>1</v>
      </c>
      <c r="CP177" t="s">
        <v>155</v>
      </c>
      <c r="CR177" s="248"/>
    </row>
    <row r="178" spans="1:96" ht="14.4" x14ac:dyDescent="0.3">
      <c r="A178">
        <v>175</v>
      </c>
      <c r="B178" s="173" t="s">
        <v>1380</v>
      </c>
      <c r="C178" s="259"/>
      <c r="D178" s="260"/>
      <c r="E178" t="s">
        <v>789</v>
      </c>
      <c r="F178" t="s">
        <v>1381</v>
      </c>
      <c r="G178" s="177" t="s">
        <v>111</v>
      </c>
      <c r="H178" s="177" t="s">
        <v>146</v>
      </c>
      <c r="I178" s="177" t="s">
        <v>113</v>
      </c>
      <c r="J178" s="177" t="s">
        <v>109</v>
      </c>
      <c r="K178" s="177" t="s">
        <v>114</v>
      </c>
      <c r="L178" s="177" t="s">
        <v>115</v>
      </c>
      <c r="M178" s="177" t="s">
        <v>109</v>
      </c>
      <c r="N178" s="177" t="s">
        <v>109</v>
      </c>
      <c r="O178" s="180">
        <v>45763</v>
      </c>
      <c r="P178" s="177" t="s">
        <v>1382</v>
      </c>
      <c r="Q178" s="177" t="s">
        <v>109</v>
      </c>
      <c r="R178" s="177" t="s">
        <v>109</v>
      </c>
      <c r="S178" s="177" t="s">
        <v>109</v>
      </c>
      <c r="T178" s="177" t="s">
        <v>404</v>
      </c>
      <c r="U178" s="177" t="s">
        <v>117</v>
      </c>
      <c r="V178" s="177" t="b">
        <v>1</v>
      </c>
      <c r="W178" s="177" t="s">
        <v>109</v>
      </c>
      <c r="X178" s="261"/>
      <c r="Y178" s="177" t="s">
        <v>118</v>
      </c>
      <c r="Z178" s="177">
        <v>0.54200000000000004</v>
      </c>
      <c r="AA178" s="177">
        <v>138</v>
      </c>
      <c r="AB178" s="177" t="s">
        <v>1383</v>
      </c>
      <c r="AC178" s="177">
        <v>4.0999999999999996</v>
      </c>
      <c r="AD178" s="177" t="s">
        <v>1384</v>
      </c>
      <c r="AE178" s="177" t="s">
        <v>1385</v>
      </c>
      <c r="AF178" s="177">
        <v>1</v>
      </c>
      <c r="AG178" s="177">
        <v>16261</v>
      </c>
      <c r="AH178" s="177" t="s">
        <v>121</v>
      </c>
      <c r="AI178" s="177" t="b">
        <v>1</v>
      </c>
      <c r="AJ178" s="180">
        <v>43732</v>
      </c>
      <c r="AK178" s="177" t="s">
        <v>122</v>
      </c>
      <c r="AL178" s="177">
        <v>2018</v>
      </c>
      <c r="AM178" s="177" t="s">
        <v>109</v>
      </c>
      <c r="AN178" s="177" t="b">
        <v>0</v>
      </c>
      <c r="AO178" s="177" t="s">
        <v>109</v>
      </c>
      <c r="AP178" s="177" t="s">
        <v>109</v>
      </c>
      <c r="AQ178" s="177" t="s">
        <v>118</v>
      </c>
      <c r="AR178" s="177" t="b">
        <v>0</v>
      </c>
      <c r="AS178" s="177" t="s">
        <v>1039</v>
      </c>
      <c r="AT178" s="180" t="s">
        <v>118</v>
      </c>
      <c r="AU178" s="177" t="s">
        <v>109</v>
      </c>
      <c r="AV178" s="177" t="s">
        <v>109</v>
      </c>
      <c r="AW178" s="177" t="s">
        <v>118</v>
      </c>
      <c r="AX178" s="177" t="s">
        <v>118</v>
      </c>
      <c r="AY178" s="177" t="s">
        <v>492</v>
      </c>
      <c r="AZ178" s="177" t="s">
        <v>109</v>
      </c>
      <c r="BA178" s="177" t="s">
        <v>125</v>
      </c>
      <c r="BB178" s="177" t="s">
        <v>109</v>
      </c>
      <c r="BC178" s="177" t="s">
        <v>397</v>
      </c>
      <c r="BD178" s="177" t="s">
        <v>109</v>
      </c>
      <c r="BE178" s="180" t="s">
        <v>109</v>
      </c>
      <c r="BF178" s="180" t="s">
        <v>152</v>
      </c>
      <c r="BG178" s="180" t="s">
        <v>109</v>
      </c>
      <c r="BH178" s="177" t="s">
        <v>109</v>
      </c>
      <c r="BI178" s="177" t="s">
        <v>109</v>
      </c>
      <c r="BJ178" s="177" t="b">
        <v>0</v>
      </c>
      <c r="BK178" s="233">
        <v>1240</v>
      </c>
      <c r="BL178" s="234" t="s">
        <v>128</v>
      </c>
      <c r="BM178" s="254">
        <v>4379.4830000000002</v>
      </c>
      <c r="BN178" s="254">
        <v>275.90612020000003</v>
      </c>
      <c r="BO178" s="254">
        <v>302.26015940000002</v>
      </c>
      <c r="BP178" s="254">
        <v>285.45938480000001</v>
      </c>
      <c r="BQ178" s="254">
        <v>0</v>
      </c>
      <c r="BR178" s="254">
        <v>0</v>
      </c>
      <c r="BS178" s="254">
        <v>0</v>
      </c>
      <c r="BT178" s="254">
        <v>0</v>
      </c>
      <c r="BU178" s="254">
        <v>0</v>
      </c>
      <c r="BV178" s="254">
        <v>0</v>
      </c>
      <c r="BW178" s="254">
        <v>0</v>
      </c>
      <c r="BX178" s="254">
        <v>0</v>
      </c>
      <c r="BY178" s="255">
        <v>4379.4830000000002</v>
      </c>
      <c r="BZ178" s="236" t="s">
        <v>109</v>
      </c>
      <c r="CA178" s="236" t="s">
        <v>109</v>
      </c>
      <c r="CB178" s="236" t="s">
        <v>109</v>
      </c>
      <c r="CC178" s="254">
        <v>0</v>
      </c>
      <c r="CD178" s="254">
        <v>0</v>
      </c>
      <c r="CE178" s="254">
        <v>0</v>
      </c>
      <c r="CF178" s="254">
        <v>0</v>
      </c>
      <c r="CG178" s="254">
        <v>0</v>
      </c>
      <c r="CH178" s="254">
        <v>0</v>
      </c>
      <c r="CI178" s="254">
        <v>0</v>
      </c>
      <c r="CJ178" s="237">
        <v>0</v>
      </c>
      <c r="CK178" s="177" t="s">
        <v>128</v>
      </c>
      <c r="CL178" s="177" t="s">
        <v>128</v>
      </c>
      <c r="CM178" s="155" t="s">
        <v>109</v>
      </c>
      <c r="CN178" s="229">
        <v>0</v>
      </c>
      <c r="CO178" s="229">
        <v>1</v>
      </c>
      <c r="CP178" t="s">
        <v>155</v>
      </c>
      <c r="CR178" s="248"/>
    </row>
    <row r="179" spans="1:96" ht="14.4" x14ac:dyDescent="0.3">
      <c r="A179">
        <v>176</v>
      </c>
      <c r="B179" s="173" t="s">
        <v>1387</v>
      </c>
      <c r="C179" s="259"/>
      <c r="D179" s="260"/>
      <c r="E179" t="s">
        <v>1060</v>
      </c>
      <c r="F179" t="s">
        <v>1388</v>
      </c>
      <c r="G179" s="177" t="s">
        <v>233</v>
      </c>
      <c r="H179" s="177" t="s">
        <v>112</v>
      </c>
      <c r="I179" s="177" t="s">
        <v>109</v>
      </c>
      <c r="J179" s="177" t="s">
        <v>109</v>
      </c>
      <c r="K179" s="177" t="s">
        <v>704</v>
      </c>
      <c r="L179" s="177" t="s">
        <v>207</v>
      </c>
      <c r="M179" s="177" t="s">
        <v>109</v>
      </c>
      <c r="N179" s="177" t="s">
        <v>109</v>
      </c>
      <c r="O179" s="180" t="s">
        <v>109</v>
      </c>
      <c r="P179" s="177" t="s">
        <v>1389</v>
      </c>
      <c r="Q179" s="177" t="s">
        <v>109</v>
      </c>
      <c r="R179" s="177" t="s">
        <v>109</v>
      </c>
      <c r="S179" s="177" t="s">
        <v>109</v>
      </c>
      <c r="T179" s="177" t="s">
        <v>116</v>
      </c>
      <c r="U179" s="177" t="s">
        <v>117</v>
      </c>
      <c r="V179" s="177" t="b">
        <v>1</v>
      </c>
      <c r="W179" s="177" t="s">
        <v>109</v>
      </c>
      <c r="X179" s="261"/>
      <c r="Y179" s="177" t="s">
        <v>118</v>
      </c>
      <c r="Z179" s="177" t="s">
        <v>118</v>
      </c>
      <c r="AA179" s="177" t="s">
        <v>1390</v>
      </c>
      <c r="AB179" s="177" t="s">
        <v>109</v>
      </c>
      <c r="AC179" s="177">
        <v>1.3</v>
      </c>
      <c r="AD179" s="177" t="s">
        <v>109</v>
      </c>
      <c r="AE179" s="177" t="s">
        <v>1391</v>
      </c>
      <c r="AF179" s="177">
        <v>1</v>
      </c>
      <c r="AG179" s="177">
        <v>16276</v>
      </c>
      <c r="AH179" s="177" t="s">
        <v>121</v>
      </c>
      <c r="AI179" s="177" t="b">
        <v>1</v>
      </c>
      <c r="AJ179" s="180">
        <v>44858</v>
      </c>
      <c r="AK179" s="177" t="s">
        <v>122</v>
      </c>
      <c r="AL179" s="177">
        <v>2019</v>
      </c>
      <c r="AM179" s="177" t="s">
        <v>109</v>
      </c>
      <c r="AN179" s="177" t="b">
        <v>0</v>
      </c>
      <c r="AO179" s="177" t="s">
        <v>109</v>
      </c>
      <c r="AP179" s="177" t="s">
        <v>109</v>
      </c>
      <c r="AQ179" s="177" t="s">
        <v>118</v>
      </c>
      <c r="AR179" s="177" t="b">
        <v>0</v>
      </c>
      <c r="AS179" s="177" t="s">
        <v>123</v>
      </c>
      <c r="AT179" s="180" t="s">
        <v>123</v>
      </c>
      <c r="AU179" s="177" t="s">
        <v>124</v>
      </c>
      <c r="AV179" s="177" t="s">
        <v>109</v>
      </c>
      <c r="AW179" s="177" t="s">
        <v>118</v>
      </c>
      <c r="AX179" s="177" t="s">
        <v>118</v>
      </c>
      <c r="AY179" s="177" t="s">
        <v>109</v>
      </c>
      <c r="AZ179" s="177" t="s">
        <v>109</v>
      </c>
      <c r="BA179" s="177" t="s">
        <v>125</v>
      </c>
      <c r="BB179" s="177" t="s">
        <v>109</v>
      </c>
      <c r="BC179" s="177" t="s">
        <v>296</v>
      </c>
      <c r="BD179" s="177" t="s">
        <v>109</v>
      </c>
      <c r="BE179" s="180" t="s">
        <v>109</v>
      </c>
      <c r="BF179" s="180" t="s">
        <v>1392</v>
      </c>
      <c r="BG179" s="180" t="s">
        <v>1393</v>
      </c>
      <c r="BH179" s="177" t="s">
        <v>109</v>
      </c>
      <c r="BI179" s="177" t="s">
        <v>109</v>
      </c>
      <c r="BJ179" s="177" t="b">
        <v>0</v>
      </c>
      <c r="BK179" s="233">
        <v>1356.2741900000001</v>
      </c>
      <c r="BL179" s="234" t="s">
        <v>128</v>
      </c>
      <c r="BM179" s="233">
        <v>3142.3809781732398</v>
      </c>
      <c r="BN179" s="233">
        <v>587.38281800000004</v>
      </c>
      <c r="BO179" s="233">
        <v>100.56824930000001</v>
      </c>
      <c r="BP179" s="233">
        <v>150.60468689999999</v>
      </c>
      <c r="BQ179" s="233">
        <v>108.667344</v>
      </c>
      <c r="BR179" s="233">
        <v>2.9024217000000001</v>
      </c>
      <c r="BS179" s="233">
        <v>0</v>
      </c>
      <c r="BT179" s="233">
        <v>0</v>
      </c>
      <c r="BU179" s="233">
        <v>0</v>
      </c>
      <c r="BV179" s="233">
        <v>0</v>
      </c>
      <c r="BW179" s="233">
        <v>0</v>
      </c>
      <c r="BX179" s="233">
        <v>0</v>
      </c>
      <c r="BY179" s="234">
        <v>0</v>
      </c>
      <c r="BZ179" s="236" t="s">
        <v>109</v>
      </c>
      <c r="CA179" s="236" t="s">
        <v>109</v>
      </c>
      <c r="CB179" s="236" t="s">
        <v>528</v>
      </c>
      <c r="CC179" s="233">
        <v>2779.6382761999998</v>
      </c>
      <c r="CD179" s="233">
        <v>100.56824930000001</v>
      </c>
      <c r="CE179" s="233">
        <v>150.60468689999999</v>
      </c>
      <c r="CF179" s="233">
        <v>108.667344</v>
      </c>
      <c r="CG179" s="233">
        <v>2.9024217000000001</v>
      </c>
      <c r="CH179" s="233">
        <v>0</v>
      </c>
      <c r="CI179" s="233">
        <v>0</v>
      </c>
      <c r="CJ179" s="177" t="s">
        <v>128</v>
      </c>
      <c r="CK179" s="177" t="s">
        <v>128</v>
      </c>
      <c r="CL179" s="177">
        <v>2.7</v>
      </c>
      <c r="CM179" s="155" t="s">
        <v>109</v>
      </c>
      <c r="CN179" s="229">
        <v>0</v>
      </c>
      <c r="CO179" s="229">
        <v>1</v>
      </c>
      <c r="CP179" t="s">
        <v>155</v>
      </c>
      <c r="CR179" s="248"/>
    </row>
    <row r="180" spans="1:96" ht="14.4" x14ac:dyDescent="0.3">
      <c r="A180">
        <v>177</v>
      </c>
      <c r="B180" s="173" t="s">
        <v>1394</v>
      </c>
      <c r="C180" s="259"/>
      <c r="D180" s="260"/>
      <c r="E180" t="s">
        <v>1395</v>
      </c>
      <c r="F180" t="s">
        <v>1396</v>
      </c>
      <c r="G180" s="177" t="s">
        <v>661</v>
      </c>
      <c r="H180" s="177" t="s">
        <v>113</v>
      </c>
      <c r="I180" s="177" t="s">
        <v>109</v>
      </c>
      <c r="J180" s="177" t="s">
        <v>109</v>
      </c>
      <c r="K180" s="177" t="s">
        <v>114</v>
      </c>
      <c r="L180" s="177" t="s">
        <v>663</v>
      </c>
      <c r="M180" s="177" t="s">
        <v>505</v>
      </c>
      <c r="N180" s="177" t="s">
        <v>109</v>
      </c>
      <c r="O180" s="180">
        <v>45685</v>
      </c>
      <c r="P180" s="177" t="s">
        <v>1389</v>
      </c>
      <c r="Q180" s="177" t="s">
        <v>508</v>
      </c>
      <c r="R180" s="177" t="s">
        <v>1397</v>
      </c>
      <c r="S180" s="177" t="s">
        <v>1398</v>
      </c>
      <c r="T180" s="177" t="s">
        <v>116</v>
      </c>
      <c r="U180" s="177" t="s">
        <v>117</v>
      </c>
      <c r="V180" s="177" t="b">
        <v>0</v>
      </c>
      <c r="W180" s="177" t="s">
        <v>109</v>
      </c>
      <c r="X180" s="261"/>
      <c r="Y180" s="177" t="s">
        <v>1399</v>
      </c>
      <c r="Z180" s="177" t="s">
        <v>118</v>
      </c>
      <c r="AA180" s="177">
        <v>69</v>
      </c>
      <c r="AB180" s="177" t="s">
        <v>109</v>
      </c>
      <c r="AC180" s="177">
        <v>2.1</v>
      </c>
      <c r="AD180" s="177" t="s">
        <v>1400</v>
      </c>
      <c r="AE180" s="177" t="s">
        <v>1401</v>
      </c>
      <c r="AF180" s="177">
        <v>1</v>
      </c>
      <c r="AG180" s="177">
        <v>17125</v>
      </c>
      <c r="AH180" s="177" t="s">
        <v>121</v>
      </c>
      <c r="AI180" s="177" t="b">
        <v>0</v>
      </c>
      <c r="AJ180" s="180" t="s">
        <v>109</v>
      </c>
      <c r="AK180" s="177" t="s">
        <v>122</v>
      </c>
      <c r="AL180" s="177">
        <v>2017</v>
      </c>
      <c r="AM180" s="177">
        <v>2015</v>
      </c>
      <c r="AN180" s="177" t="b">
        <v>0</v>
      </c>
      <c r="AO180" s="177">
        <v>2015</v>
      </c>
      <c r="AP180" s="177" t="s">
        <v>109</v>
      </c>
      <c r="AQ180" s="177" t="s">
        <v>1402</v>
      </c>
      <c r="AR180" s="177" t="b">
        <v>0</v>
      </c>
      <c r="AS180" s="177" t="s">
        <v>123</v>
      </c>
      <c r="AT180" s="180" t="s">
        <v>123</v>
      </c>
      <c r="AU180" s="177" t="s">
        <v>124</v>
      </c>
      <c r="AV180" s="177" t="s">
        <v>109</v>
      </c>
      <c r="AW180" s="177" t="s">
        <v>109</v>
      </c>
      <c r="AX180" s="177" t="s">
        <v>109</v>
      </c>
      <c r="AY180" s="177" t="s">
        <v>123</v>
      </c>
      <c r="AZ180" s="177" t="s">
        <v>1403</v>
      </c>
      <c r="BA180" s="177" t="s">
        <v>125</v>
      </c>
      <c r="BB180" s="177">
        <v>2025</v>
      </c>
      <c r="BC180" s="177" t="s">
        <v>699</v>
      </c>
      <c r="BD180" s="177" t="s">
        <v>109</v>
      </c>
      <c r="BE180" s="180" t="s">
        <v>1404</v>
      </c>
      <c r="BF180" s="180" t="s">
        <v>1018</v>
      </c>
      <c r="BG180" s="180" t="s">
        <v>1405</v>
      </c>
      <c r="BH180" s="177" t="s">
        <v>699</v>
      </c>
      <c r="BI180" s="177" t="s">
        <v>893</v>
      </c>
      <c r="BJ180" s="177" t="b">
        <v>0</v>
      </c>
      <c r="BK180" s="233">
        <v>14057.888000000001</v>
      </c>
      <c r="BL180" s="234" t="s">
        <v>128</v>
      </c>
      <c r="BM180" s="254">
        <v>51373.758000000002</v>
      </c>
      <c r="BN180" s="254">
        <v>80.775990000000007</v>
      </c>
      <c r="BO180" s="254">
        <v>333.83267999999998</v>
      </c>
      <c r="BP180" s="254">
        <v>325.58737000000002</v>
      </c>
      <c r="BQ180" s="254">
        <v>7751.4817699999994</v>
      </c>
      <c r="BR180" s="254">
        <v>1404.4026699999999</v>
      </c>
      <c r="BS180" s="254">
        <v>380.89620999999994</v>
      </c>
      <c r="BT180" s="254">
        <v>11538.7987973</v>
      </c>
      <c r="BU180" s="254">
        <v>27458.795047800002</v>
      </c>
      <c r="BV180" s="254">
        <v>0</v>
      </c>
      <c r="BW180" s="254">
        <v>0</v>
      </c>
      <c r="BX180" s="254">
        <v>0</v>
      </c>
      <c r="BY180" s="255">
        <v>12376.164000000001</v>
      </c>
      <c r="BZ180" s="236" t="s">
        <v>109</v>
      </c>
      <c r="CA180" s="236" t="s">
        <v>109</v>
      </c>
      <c r="CB180" s="236" t="s">
        <v>109</v>
      </c>
      <c r="CC180" s="254">
        <v>0</v>
      </c>
      <c r="CD180" s="254">
        <v>0</v>
      </c>
      <c r="CE180" s="254">
        <v>0</v>
      </c>
      <c r="CF180" s="254">
        <v>0</v>
      </c>
      <c r="CG180" s="254">
        <v>0</v>
      </c>
      <c r="CH180" s="254">
        <v>0</v>
      </c>
      <c r="CI180" s="254">
        <v>0</v>
      </c>
      <c r="CJ180" s="237">
        <v>0</v>
      </c>
      <c r="CK180" s="177" t="s">
        <v>128</v>
      </c>
      <c r="CL180" s="177">
        <v>3.4</v>
      </c>
      <c r="CM180" s="155" t="s">
        <v>109</v>
      </c>
      <c r="CN180" s="229">
        <v>0</v>
      </c>
      <c r="CO180" s="229">
        <v>1</v>
      </c>
      <c r="CP180" t="s">
        <v>155</v>
      </c>
      <c r="CR180" s="248"/>
    </row>
    <row r="181" spans="1:96" ht="14.4" x14ac:dyDescent="0.3">
      <c r="A181">
        <v>178</v>
      </c>
      <c r="B181" s="173" t="s">
        <v>1406</v>
      </c>
      <c r="C181" s="259"/>
      <c r="D181" s="260"/>
      <c r="E181" t="s">
        <v>329</v>
      </c>
      <c r="F181" t="s">
        <v>1407</v>
      </c>
      <c r="G181" s="177" t="s">
        <v>886</v>
      </c>
      <c r="H181" s="177" t="s">
        <v>146</v>
      </c>
      <c r="I181" s="177" t="s">
        <v>109</v>
      </c>
      <c r="J181" s="177" t="s">
        <v>109</v>
      </c>
      <c r="K181" s="177" t="s">
        <v>114</v>
      </c>
      <c r="L181" s="177" t="s">
        <v>251</v>
      </c>
      <c r="M181" s="177" t="s">
        <v>109</v>
      </c>
      <c r="N181" s="177" t="s">
        <v>109</v>
      </c>
      <c r="O181" s="180">
        <v>45699</v>
      </c>
      <c r="P181" s="177" t="s">
        <v>1408</v>
      </c>
      <c r="Q181" s="177" t="s">
        <v>109</v>
      </c>
      <c r="R181" s="177" t="s">
        <v>109</v>
      </c>
      <c r="S181" s="177" t="s">
        <v>109</v>
      </c>
      <c r="T181" s="177" t="s">
        <v>116</v>
      </c>
      <c r="U181" s="177" t="s">
        <v>117</v>
      </c>
      <c r="V181" s="177" t="b">
        <v>0</v>
      </c>
      <c r="W181" s="177" t="s">
        <v>487</v>
      </c>
      <c r="X181" s="261"/>
      <c r="Y181" s="177">
        <v>1.322101</v>
      </c>
      <c r="Z181" s="177" t="s">
        <v>118</v>
      </c>
      <c r="AA181" s="177">
        <v>69</v>
      </c>
      <c r="AB181" s="177" t="s">
        <v>109</v>
      </c>
      <c r="AC181" s="177">
        <v>4.0999999999999996</v>
      </c>
      <c r="AD181" s="177" t="s">
        <v>1409</v>
      </c>
      <c r="AE181" s="177" t="s">
        <v>1410</v>
      </c>
      <c r="AF181" s="177">
        <v>1</v>
      </c>
      <c r="AG181" s="177">
        <v>17127</v>
      </c>
      <c r="AH181" s="177" t="s">
        <v>121</v>
      </c>
      <c r="AI181" s="177" t="b">
        <v>1</v>
      </c>
      <c r="AJ181" s="180">
        <v>45255</v>
      </c>
      <c r="AK181" s="177" t="s">
        <v>122</v>
      </c>
      <c r="AL181" s="177">
        <v>2017</v>
      </c>
      <c r="AM181" s="177" t="s">
        <v>118</v>
      </c>
      <c r="AN181" s="177" t="b">
        <v>0</v>
      </c>
      <c r="AO181" s="177" t="s">
        <v>118</v>
      </c>
      <c r="AP181" s="177" t="s">
        <v>118</v>
      </c>
      <c r="AQ181" s="177" t="s">
        <v>118</v>
      </c>
      <c r="AR181" s="177" t="b">
        <v>0</v>
      </c>
      <c r="AS181" s="177" t="s">
        <v>123</v>
      </c>
      <c r="AT181" s="180" t="s">
        <v>123</v>
      </c>
      <c r="AU181" s="177" t="s">
        <v>124</v>
      </c>
      <c r="AV181" s="177" t="s">
        <v>109</v>
      </c>
      <c r="AW181" s="177" t="s">
        <v>109</v>
      </c>
      <c r="AX181" s="177" t="s">
        <v>109</v>
      </c>
      <c r="AY181" s="177" t="s">
        <v>123</v>
      </c>
      <c r="AZ181" s="177" t="s">
        <v>109</v>
      </c>
      <c r="BA181" s="177" t="s">
        <v>125</v>
      </c>
      <c r="BB181" s="177">
        <v>2027</v>
      </c>
      <c r="BC181" s="177" t="s">
        <v>546</v>
      </c>
      <c r="BD181" s="177" t="s">
        <v>109</v>
      </c>
      <c r="BE181" s="180" t="s">
        <v>1411</v>
      </c>
      <c r="BF181" s="180" t="s">
        <v>891</v>
      </c>
      <c r="BG181" s="180" t="s">
        <v>1412</v>
      </c>
      <c r="BH181" s="177" t="s">
        <v>893</v>
      </c>
      <c r="BI181" s="177" t="s">
        <v>609</v>
      </c>
      <c r="BJ181" s="177" t="b">
        <v>0</v>
      </c>
      <c r="BK181" s="233">
        <v>28043.923999999999</v>
      </c>
      <c r="BL181" s="234" t="s">
        <v>128</v>
      </c>
      <c r="BM181" s="254">
        <v>28043.923999999999</v>
      </c>
      <c r="BN181" s="254">
        <v>0</v>
      </c>
      <c r="BO181" s="254">
        <v>0</v>
      </c>
      <c r="BP181" s="254">
        <v>0</v>
      </c>
      <c r="BQ181" s="254">
        <v>112.20927999999999</v>
      </c>
      <c r="BR181" s="254">
        <v>948.62277000000006</v>
      </c>
      <c r="BS181" s="254">
        <v>168.05198999999999</v>
      </c>
      <c r="BT181" s="254">
        <v>3634.2674803999998</v>
      </c>
      <c r="BU181" s="254">
        <v>20179.466868399999</v>
      </c>
      <c r="BV181" s="254">
        <v>3001.3056112000004</v>
      </c>
      <c r="BW181" s="254">
        <v>0</v>
      </c>
      <c r="BX181" s="254">
        <v>0</v>
      </c>
      <c r="BY181" s="255">
        <v>1228.884</v>
      </c>
      <c r="BZ181" s="236" t="s">
        <v>109</v>
      </c>
      <c r="CA181" s="236" t="s">
        <v>109</v>
      </c>
      <c r="CB181" s="236" t="s">
        <v>109</v>
      </c>
      <c r="CC181" s="254">
        <v>0</v>
      </c>
      <c r="CD181" s="254">
        <v>0</v>
      </c>
      <c r="CE181" s="254">
        <v>0</v>
      </c>
      <c r="CF181" s="254">
        <v>0</v>
      </c>
      <c r="CG181" s="254">
        <v>0</v>
      </c>
      <c r="CH181" s="254">
        <v>0</v>
      </c>
      <c r="CI181" s="254">
        <v>0</v>
      </c>
      <c r="CJ181" s="177" t="s">
        <v>128</v>
      </c>
      <c r="CK181" s="177" t="s">
        <v>128</v>
      </c>
      <c r="CL181" s="177">
        <v>4.9000000000000004</v>
      </c>
      <c r="CM181" s="155" t="s">
        <v>109</v>
      </c>
      <c r="CN181" s="229">
        <v>0</v>
      </c>
      <c r="CO181" s="229">
        <v>1</v>
      </c>
      <c r="CP181" t="s">
        <v>155</v>
      </c>
      <c r="CR181" s="248"/>
    </row>
    <row r="182" spans="1:96" ht="14.4" x14ac:dyDescent="0.3">
      <c r="A182">
        <v>179</v>
      </c>
      <c r="B182" s="173" t="s">
        <v>1413</v>
      </c>
      <c r="C182" s="259"/>
      <c r="D182" s="260"/>
      <c r="E182" t="s">
        <v>1414</v>
      </c>
      <c r="F182" t="s">
        <v>1415</v>
      </c>
      <c r="G182" s="177" t="s">
        <v>661</v>
      </c>
      <c r="H182" s="177" t="s">
        <v>113</v>
      </c>
      <c r="I182" s="177" t="s">
        <v>109</v>
      </c>
      <c r="J182" s="177" t="s">
        <v>109</v>
      </c>
      <c r="K182" s="177" t="s">
        <v>114</v>
      </c>
      <c r="L182" s="177" t="s">
        <v>663</v>
      </c>
      <c r="M182" s="177" t="s">
        <v>505</v>
      </c>
      <c r="N182" s="177" t="s">
        <v>109</v>
      </c>
      <c r="O182" s="180">
        <v>45696</v>
      </c>
      <c r="P182" s="177" t="s">
        <v>109</v>
      </c>
      <c r="Q182" s="177" t="s">
        <v>508</v>
      </c>
      <c r="R182" s="177" t="s">
        <v>1397</v>
      </c>
      <c r="S182" s="177" t="s">
        <v>109</v>
      </c>
      <c r="T182" s="177" t="s">
        <v>116</v>
      </c>
      <c r="U182" s="177" t="s">
        <v>117</v>
      </c>
      <c r="V182" s="177" t="b">
        <v>0</v>
      </c>
      <c r="W182" s="177" t="s">
        <v>109</v>
      </c>
      <c r="X182" s="261"/>
      <c r="Y182" s="177" t="s">
        <v>1416</v>
      </c>
      <c r="Z182" s="177" t="s">
        <v>118</v>
      </c>
      <c r="AA182" s="177">
        <v>69</v>
      </c>
      <c r="AB182" s="177" t="s">
        <v>109</v>
      </c>
      <c r="AC182" s="177">
        <v>2.1</v>
      </c>
      <c r="AD182" s="177" t="s">
        <v>1417</v>
      </c>
      <c r="AE182" s="177" t="s">
        <v>1418</v>
      </c>
      <c r="AF182" s="177">
        <v>1</v>
      </c>
      <c r="AG182" s="177">
        <v>17129</v>
      </c>
      <c r="AH182" s="177" t="s">
        <v>121</v>
      </c>
      <c r="AI182" s="177" t="b">
        <v>0</v>
      </c>
      <c r="AJ182" s="180" t="s">
        <v>109</v>
      </c>
      <c r="AK182" s="177" t="s">
        <v>122</v>
      </c>
      <c r="AL182" s="177">
        <v>2017</v>
      </c>
      <c r="AM182" s="177">
        <v>2013</v>
      </c>
      <c r="AN182" s="177" t="b">
        <v>0</v>
      </c>
      <c r="AO182" s="177">
        <v>2013</v>
      </c>
      <c r="AP182" s="177" t="s">
        <v>109</v>
      </c>
      <c r="AQ182" s="177" t="s">
        <v>962</v>
      </c>
      <c r="AR182" s="177" t="b">
        <v>0</v>
      </c>
      <c r="AS182" s="177" t="s">
        <v>123</v>
      </c>
      <c r="AT182" s="180" t="s">
        <v>123</v>
      </c>
      <c r="AU182" s="177" t="s">
        <v>124</v>
      </c>
      <c r="AV182" s="177" t="s">
        <v>109</v>
      </c>
      <c r="AW182" s="177" t="s">
        <v>226</v>
      </c>
      <c r="AX182" s="177" t="s">
        <v>109</v>
      </c>
      <c r="AY182" s="177" t="s">
        <v>135</v>
      </c>
      <c r="AZ182" s="177" t="s">
        <v>1419</v>
      </c>
      <c r="BA182" s="177" t="s">
        <v>494</v>
      </c>
      <c r="BB182" s="177">
        <v>2025</v>
      </c>
      <c r="BC182" s="177" t="s">
        <v>699</v>
      </c>
      <c r="BD182" s="177" t="s">
        <v>109</v>
      </c>
      <c r="BE182" s="180" t="s">
        <v>1420</v>
      </c>
      <c r="BF182" s="180" t="s">
        <v>1018</v>
      </c>
      <c r="BG182" s="180" t="s">
        <v>1421</v>
      </c>
      <c r="BH182" s="177" t="s">
        <v>459</v>
      </c>
      <c r="BI182" s="177" t="s">
        <v>699</v>
      </c>
      <c r="BJ182" s="177" t="b">
        <v>0</v>
      </c>
      <c r="BK182" s="233">
        <v>13584.367</v>
      </c>
      <c r="BL182" s="234" t="s">
        <v>128</v>
      </c>
      <c r="BM182" s="254">
        <v>39484.891000000003</v>
      </c>
      <c r="BN182" s="254">
        <v>208.6506411</v>
      </c>
      <c r="BO182" s="254">
        <v>5306.3214261999992</v>
      </c>
      <c r="BP182" s="254">
        <v>210.58662399999997</v>
      </c>
      <c r="BQ182" s="254">
        <v>681.42804509999996</v>
      </c>
      <c r="BR182" s="254">
        <v>835.57952399999999</v>
      </c>
      <c r="BS182" s="254">
        <v>331.04101600000001</v>
      </c>
      <c r="BT182" s="254">
        <v>9891.0167269999984</v>
      </c>
      <c r="BU182" s="254">
        <v>16015.916566199998</v>
      </c>
      <c r="BV182" s="254">
        <v>3636.4814827999999</v>
      </c>
      <c r="BW182" s="254">
        <v>0</v>
      </c>
      <c r="BX182" s="254">
        <v>0</v>
      </c>
      <c r="BY182" s="255">
        <v>9941.4760000000006</v>
      </c>
      <c r="BZ182" s="236" t="s">
        <v>109</v>
      </c>
      <c r="CA182" s="236" t="s">
        <v>109</v>
      </c>
      <c r="CB182" s="236" t="s">
        <v>109</v>
      </c>
      <c r="CC182" s="254">
        <v>0</v>
      </c>
      <c r="CD182" s="254">
        <v>0</v>
      </c>
      <c r="CE182" s="254">
        <v>0</v>
      </c>
      <c r="CF182" s="254">
        <v>0</v>
      </c>
      <c r="CG182" s="254">
        <v>0</v>
      </c>
      <c r="CH182" s="254">
        <v>0</v>
      </c>
      <c r="CI182" s="254">
        <v>0</v>
      </c>
      <c r="CJ182" s="237">
        <v>0</v>
      </c>
      <c r="CK182" s="177" t="s">
        <v>128</v>
      </c>
      <c r="CL182" s="177">
        <v>3.1</v>
      </c>
      <c r="CM182" s="155" t="s">
        <v>109</v>
      </c>
      <c r="CN182" s="229">
        <v>0</v>
      </c>
      <c r="CO182" s="229">
        <v>1</v>
      </c>
      <c r="CP182" t="s">
        <v>1422</v>
      </c>
      <c r="CR182" s="248"/>
    </row>
    <row r="183" spans="1:96" ht="14.4" x14ac:dyDescent="0.3">
      <c r="A183">
        <v>180</v>
      </c>
      <c r="B183" s="173" t="s">
        <v>1423</v>
      </c>
      <c r="C183" s="259"/>
      <c r="D183" s="260"/>
      <c r="E183" t="s">
        <v>329</v>
      </c>
      <c r="F183" t="s">
        <v>1424</v>
      </c>
      <c r="G183" s="177" t="s">
        <v>886</v>
      </c>
      <c r="H183" s="177" t="s">
        <v>113</v>
      </c>
      <c r="I183" s="177" t="s">
        <v>109</v>
      </c>
      <c r="J183" s="177" t="s">
        <v>109</v>
      </c>
      <c r="K183" s="177" t="s">
        <v>192</v>
      </c>
      <c r="L183" s="177" t="s">
        <v>812</v>
      </c>
      <c r="M183" s="177" t="s">
        <v>109</v>
      </c>
      <c r="N183" s="177" t="s">
        <v>109</v>
      </c>
      <c r="O183" s="180">
        <v>45682</v>
      </c>
      <c r="P183" s="177" t="s">
        <v>1425</v>
      </c>
      <c r="Q183" s="177" t="s">
        <v>508</v>
      </c>
      <c r="R183" s="177" t="s">
        <v>1397</v>
      </c>
      <c r="S183" s="177" t="s">
        <v>109</v>
      </c>
      <c r="T183" s="177" t="s">
        <v>404</v>
      </c>
      <c r="U183" s="177" t="s">
        <v>117</v>
      </c>
      <c r="V183" s="177" t="b">
        <v>0</v>
      </c>
      <c r="W183" s="177" t="s">
        <v>109</v>
      </c>
      <c r="X183" s="261"/>
      <c r="Y183" s="177" t="s">
        <v>604</v>
      </c>
      <c r="Z183" s="177" t="s">
        <v>118</v>
      </c>
      <c r="AA183" s="177">
        <v>69</v>
      </c>
      <c r="AB183" s="177" t="s">
        <v>109</v>
      </c>
      <c r="AC183" s="177">
        <v>2.1</v>
      </c>
      <c r="AD183" s="177" t="s">
        <v>1426</v>
      </c>
      <c r="AE183" s="177" t="s">
        <v>1427</v>
      </c>
      <c r="AF183" s="177">
        <v>1</v>
      </c>
      <c r="AG183" s="177">
        <v>17130</v>
      </c>
      <c r="AH183" s="177" t="s">
        <v>121</v>
      </c>
      <c r="AI183" s="177" t="b">
        <v>0</v>
      </c>
      <c r="AJ183" s="180" t="s">
        <v>109</v>
      </c>
      <c r="AK183" s="177" t="s">
        <v>122</v>
      </c>
      <c r="AL183" s="177">
        <v>2017</v>
      </c>
      <c r="AM183" s="177">
        <v>2014</v>
      </c>
      <c r="AN183" s="177" t="b">
        <v>0</v>
      </c>
      <c r="AO183" s="177">
        <v>2014</v>
      </c>
      <c r="AP183" s="177" t="s">
        <v>109</v>
      </c>
      <c r="AQ183" s="177" t="s">
        <v>766</v>
      </c>
      <c r="AR183" s="177" t="b">
        <v>0</v>
      </c>
      <c r="AS183" s="177" t="s">
        <v>123</v>
      </c>
      <c r="AT183" s="180" t="s">
        <v>123</v>
      </c>
      <c r="AU183" s="177" t="s">
        <v>124</v>
      </c>
      <c r="AV183" s="177" t="s">
        <v>109</v>
      </c>
      <c r="AW183" s="177" t="s">
        <v>109</v>
      </c>
      <c r="AX183" s="177" t="s">
        <v>109</v>
      </c>
      <c r="AY183" s="177" t="s">
        <v>135</v>
      </c>
      <c r="AZ183" s="177" t="s">
        <v>109</v>
      </c>
      <c r="BA183" s="177" t="s">
        <v>125</v>
      </c>
      <c r="BB183" s="177" t="s">
        <v>109</v>
      </c>
      <c r="BC183" s="177" t="s">
        <v>126</v>
      </c>
      <c r="BD183" s="177" t="s">
        <v>109</v>
      </c>
      <c r="BE183" s="180" t="s">
        <v>1428</v>
      </c>
      <c r="BF183" s="180" t="s">
        <v>1369</v>
      </c>
      <c r="BG183" s="180" t="s">
        <v>1429</v>
      </c>
      <c r="BH183" s="177" t="s">
        <v>459</v>
      </c>
      <c r="BI183" s="177" t="s">
        <v>609</v>
      </c>
      <c r="BJ183" s="177" t="b">
        <v>0</v>
      </c>
      <c r="BK183" s="233">
        <v>2999.9999899999998</v>
      </c>
      <c r="BL183" s="234" t="s">
        <v>128</v>
      </c>
      <c r="BM183" s="254">
        <v>16642.609</v>
      </c>
      <c r="BN183" s="254">
        <v>8642.3835264999998</v>
      </c>
      <c r="BO183" s="254">
        <v>675.60173160000011</v>
      </c>
      <c r="BP183" s="254">
        <v>-344.41688379999999</v>
      </c>
      <c r="BQ183" s="254">
        <v>0</v>
      </c>
      <c r="BR183" s="254">
        <v>-0.68320000000000003</v>
      </c>
      <c r="BS183" s="254">
        <v>0</v>
      </c>
      <c r="BT183" s="254">
        <v>0</v>
      </c>
      <c r="BU183" s="254">
        <v>0</v>
      </c>
      <c r="BV183" s="254">
        <v>0</v>
      </c>
      <c r="BW183" s="254">
        <v>0</v>
      </c>
      <c r="BX183" s="254">
        <v>0</v>
      </c>
      <c r="BY183" s="255">
        <v>0</v>
      </c>
      <c r="BZ183" s="236" t="s">
        <v>109</v>
      </c>
      <c r="CA183" s="236" t="s">
        <v>109</v>
      </c>
      <c r="CB183" s="236" t="s">
        <v>683</v>
      </c>
      <c r="CC183" s="254">
        <v>16312.107008000001</v>
      </c>
      <c r="CD183" s="254">
        <v>675.60173160000011</v>
      </c>
      <c r="CE183" s="254">
        <v>-344.41688379999999</v>
      </c>
      <c r="CF183" s="254">
        <v>0</v>
      </c>
      <c r="CG183" s="254">
        <v>-0.68320000000000003</v>
      </c>
      <c r="CH183" s="254">
        <v>0</v>
      </c>
      <c r="CI183" s="254">
        <v>0</v>
      </c>
      <c r="CJ183" s="237">
        <v>0</v>
      </c>
      <c r="CK183" s="177" t="s">
        <v>128</v>
      </c>
      <c r="CL183" s="177" t="s">
        <v>128</v>
      </c>
      <c r="CM183" s="155" t="s">
        <v>109</v>
      </c>
      <c r="CN183" s="229">
        <v>0</v>
      </c>
      <c r="CO183" s="229">
        <v>1</v>
      </c>
      <c r="CP183" t="s">
        <v>202</v>
      </c>
      <c r="CR183" s="248"/>
    </row>
    <row r="184" spans="1:96" ht="14.4" x14ac:dyDescent="0.3">
      <c r="A184">
        <v>181</v>
      </c>
      <c r="B184" s="173" t="s">
        <v>1430</v>
      </c>
      <c r="C184" s="259"/>
      <c r="D184" s="260"/>
      <c r="E184" t="s">
        <v>380</v>
      </c>
      <c r="F184" t="s">
        <v>1431</v>
      </c>
      <c r="G184" s="177" t="s">
        <v>145</v>
      </c>
      <c r="H184" s="177" t="s">
        <v>146</v>
      </c>
      <c r="I184" s="177" t="s">
        <v>109</v>
      </c>
      <c r="J184" s="177" t="s">
        <v>109</v>
      </c>
      <c r="K184" s="177" t="s">
        <v>114</v>
      </c>
      <c r="L184" s="177" t="s">
        <v>1432</v>
      </c>
      <c r="M184" s="177" t="s">
        <v>109</v>
      </c>
      <c r="N184" s="177" t="s">
        <v>109</v>
      </c>
      <c r="O184" s="180">
        <v>45742</v>
      </c>
      <c r="P184" s="177" t="s">
        <v>870</v>
      </c>
      <c r="Q184" s="177" t="s">
        <v>109</v>
      </c>
      <c r="R184" s="177" t="s">
        <v>1052</v>
      </c>
      <c r="S184" s="177" t="s">
        <v>109</v>
      </c>
      <c r="T184" s="177" t="s">
        <v>116</v>
      </c>
      <c r="U184" s="177" t="s">
        <v>117</v>
      </c>
      <c r="V184" s="177" t="b">
        <v>0</v>
      </c>
      <c r="W184" s="177" t="s">
        <v>109</v>
      </c>
      <c r="X184" s="261"/>
      <c r="Y184" s="177" t="s">
        <v>118</v>
      </c>
      <c r="Z184" s="176">
        <v>55.48</v>
      </c>
      <c r="AA184" s="177">
        <v>500</v>
      </c>
      <c r="AB184" s="177" t="s">
        <v>1433</v>
      </c>
      <c r="AC184" s="177">
        <v>2.1</v>
      </c>
      <c r="AD184" s="177" t="s">
        <v>1434</v>
      </c>
      <c r="AE184" s="177" t="s">
        <v>1435</v>
      </c>
      <c r="AF184" s="177">
        <v>1</v>
      </c>
      <c r="AG184" s="177">
        <v>17138</v>
      </c>
      <c r="AH184" s="177" t="s">
        <v>121</v>
      </c>
      <c r="AI184" s="177" t="b">
        <v>1</v>
      </c>
      <c r="AJ184" s="180">
        <v>43606</v>
      </c>
      <c r="AK184" s="177" t="s">
        <v>122</v>
      </c>
      <c r="AL184" s="177">
        <v>2018</v>
      </c>
      <c r="AM184" s="177" t="s">
        <v>109</v>
      </c>
      <c r="AN184" s="177" t="b">
        <v>0</v>
      </c>
      <c r="AO184" s="177" t="s">
        <v>109</v>
      </c>
      <c r="AP184" s="177" t="s">
        <v>109</v>
      </c>
      <c r="AQ184" s="177" t="s">
        <v>118</v>
      </c>
      <c r="AR184" s="177" t="b">
        <v>0</v>
      </c>
      <c r="AS184" s="177" t="s">
        <v>123</v>
      </c>
      <c r="AT184" s="180" t="s">
        <v>123</v>
      </c>
      <c r="AU184" s="177" t="s">
        <v>124</v>
      </c>
      <c r="AV184" s="177" t="s">
        <v>109</v>
      </c>
      <c r="AW184" s="177" t="s">
        <v>118</v>
      </c>
      <c r="AX184" s="177" t="s">
        <v>118</v>
      </c>
      <c r="AY184" s="177" t="s">
        <v>135</v>
      </c>
      <c r="AZ184" s="177" t="s">
        <v>109</v>
      </c>
      <c r="BA184" s="177" t="s">
        <v>109</v>
      </c>
      <c r="BB184" s="177" t="s">
        <v>109</v>
      </c>
      <c r="BC184" s="177" t="s">
        <v>126</v>
      </c>
      <c r="BD184" s="177" t="s">
        <v>109</v>
      </c>
      <c r="BE184" s="180" t="s">
        <v>1436</v>
      </c>
      <c r="BF184" s="180" t="s">
        <v>1437</v>
      </c>
      <c r="BG184" s="180" t="s">
        <v>1438</v>
      </c>
      <c r="BH184" s="177" t="s">
        <v>109</v>
      </c>
      <c r="BI184" s="177" t="s">
        <v>109</v>
      </c>
      <c r="BJ184" s="177" t="b">
        <v>1</v>
      </c>
      <c r="BK184" s="233">
        <v>16986</v>
      </c>
      <c r="BL184" s="234" t="s">
        <v>128</v>
      </c>
      <c r="BM184" s="233">
        <v>19926.762060000001</v>
      </c>
      <c r="BN184" s="233">
        <v>559.41539999999998</v>
      </c>
      <c r="BO184" s="233">
        <v>4.5065400000000002</v>
      </c>
      <c r="BP184" s="233">
        <v>0</v>
      </c>
      <c r="BQ184" s="233">
        <v>215.59452999999999</v>
      </c>
      <c r="BR184" s="233">
        <v>297.90420999999998</v>
      </c>
      <c r="BS184" s="233">
        <v>48.167580000000001</v>
      </c>
      <c r="BT184" s="233">
        <v>0</v>
      </c>
      <c r="BU184" s="233">
        <v>0</v>
      </c>
      <c r="BV184" s="233">
        <v>0</v>
      </c>
      <c r="BW184" s="233">
        <v>0</v>
      </c>
      <c r="BX184" s="233">
        <v>0</v>
      </c>
      <c r="BY184" s="234">
        <v>0</v>
      </c>
      <c r="BZ184" s="236" t="s">
        <v>109</v>
      </c>
      <c r="CA184" s="236" t="s">
        <v>109</v>
      </c>
      <c r="CB184" s="236" t="s">
        <v>746</v>
      </c>
      <c r="CC184" s="233">
        <v>559.41539999999998</v>
      </c>
      <c r="CD184" s="233">
        <v>4.5065400000000002</v>
      </c>
      <c r="CE184" s="233">
        <v>0</v>
      </c>
      <c r="CF184" s="233">
        <v>215.59452999999999</v>
      </c>
      <c r="CG184" s="233">
        <v>297.90420999999998</v>
      </c>
      <c r="CH184" s="233">
        <v>48.167580000000001</v>
      </c>
      <c r="CI184" s="233">
        <v>0</v>
      </c>
      <c r="CJ184" s="237">
        <v>0</v>
      </c>
      <c r="CK184" s="177" t="s">
        <v>128</v>
      </c>
      <c r="CL184" s="177" t="s">
        <v>128</v>
      </c>
      <c r="CM184" s="155" t="s">
        <v>109</v>
      </c>
      <c r="CN184" s="229">
        <v>1</v>
      </c>
      <c r="CO184" s="229">
        <v>0</v>
      </c>
      <c r="CP184" t="s">
        <v>155</v>
      </c>
      <c r="CR184" s="248"/>
    </row>
    <row r="185" spans="1:96" ht="14.4" x14ac:dyDescent="0.3">
      <c r="A185">
        <v>182</v>
      </c>
      <c r="B185" s="173" t="s">
        <v>1439</v>
      </c>
      <c r="C185" s="259"/>
      <c r="D185" s="260"/>
      <c r="E185" t="s">
        <v>1440</v>
      </c>
      <c r="F185" t="s">
        <v>1441</v>
      </c>
      <c r="G185" s="177" t="s">
        <v>886</v>
      </c>
      <c r="H185" s="177" t="s">
        <v>146</v>
      </c>
      <c r="I185" s="177" t="s">
        <v>109</v>
      </c>
      <c r="J185" s="177" t="s">
        <v>109</v>
      </c>
      <c r="K185" s="177" t="s">
        <v>114</v>
      </c>
      <c r="L185" s="177" t="s">
        <v>251</v>
      </c>
      <c r="M185" s="177" t="s">
        <v>109</v>
      </c>
      <c r="N185" s="177" t="s">
        <v>109</v>
      </c>
      <c r="O185" s="180">
        <v>45669</v>
      </c>
      <c r="P185" s="177" t="s">
        <v>109</v>
      </c>
      <c r="Q185" s="177" t="s">
        <v>109</v>
      </c>
      <c r="R185" s="177" t="s">
        <v>109</v>
      </c>
      <c r="S185" s="177" t="s">
        <v>109</v>
      </c>
      <c r="T185" s="177" t="s">
        <v>116</v>
      </c>
      <c r="U185" s="177" t="s">
        <v>117</v>
      </c>
      <c r="V185" s="177" t="b">
        <v>0</v>
      </c>
      <c r="W185" s="177" t="s">
        <v>109</v>
      </c>
      <c r="X185" s="261"/>
      <c r="Y185" s="177">
        <v>1.053445</v>
      </c>
      <c r="Z185" s="177" t="s">
        <v>118</v>
      </c>
      <c r="AA185" s="177">
        <v>69</v>
      </c>
      <c r="AB185" s="177" t="s">
        <v>109</v>
      </c>
      <c r="AC185" s="177">
        <v>4.0999999999999996</v>
      </c>
      <c r="AD185" s="177" t="s">
        <v>1442</v>
      </c>
      <c r="AE185" s="177" t="s">
        <v>1443</v>
      </c>
      <c r="AF185" s="177">
        <v>1</v>
      </c>
      <c r="AG185" s="177">
        <v>17142</v>
      </c>
      <c r="AH185" s="177" t="s">
        <v>121</v>
      </c>
      <c r="AI185" s="177" t="b">
        <v>1</v>
      </c>
      <c r="AJ185" s="180">
        <v>45535</v>
      </c>
      <c r="AK185" s="177" t="s">
        <v>122</v>
      </c>
      <c r="AL185" s="177">
        <v>2017</v>
      </c>
      <c r="AM185" s="177" t="s">
        <v>118</v>
      </c>
      <c r="AN185" s="177" t="b">
        <v>0</v>
      </c>
      <c r="AO185" s="177" t="s">
        <v>118</v>
      </c>
      <c r="AP185" s="177" t="s">
        <v>118</v>
      </c>
      <c r="AQ185" s="177" t="s">
        <v>118</v>
      </c>
      <c r="AR185" s="177" t="b">
        <v>0</v>
      </c>
      <c r="AS185" s="177" t="s">
        <v>123</v>
      </c>
      <c r="AT185" s="180" t="s">
        <v>123</v>
      </c>
      <c r="AU185" s="177" t="s">
        <v>124</v>
      </c>
      <c r="AV185" s="177" t="s">
        <v>109</v>
      </c>
      <c r="AW185" s="177" t="s">
        <v>118</v>
      </c>
      <c r="AX185" s="177" t="s">
        <v>118</v>
      </c>
      <c r="AY185" s="177" t="s">
        <v>123</v>
      </c>
      <c r="AZ185" s="177" t="s">
        <v>1444</v>
      </c>
      <c r="BA185" s="177" t="s">
        <v>125</v>
      </c>
      <c r="BB185" s="177">
        <v>2027</v>
      </c>
      <c r="BC185" s="177" t="s">
        <v>397</v>
      </c>
      <c r="BD185" s="177" t="s">
        <v>109</v>
      </c>
      <c r="BE185" s="180" t="s">
        <v>109</v>
      </c>
      <c r="BF185" s="180" t="s">
        <v>1445</v>
      </c>
      <c r="BG185" s="180" t="s">
        <v>109</v>
      </c>
      <c r="BH185" s="177" t="s">
        <v>109</v>
      </c>
      <c r="BI185" s="177" t="s">
        <v>109</v>
      </c>
      <c r="BJ185" s="177" t="b">
        <v>1</v>
      </c>
      <c r="BK185" s="233">
        <v>905.76099999999997</v>
      </c>
      <c r="BL185" s="234" t="s">
        <v>128</v>
      </c>
      <c r="BM185" s="233">
        <v>1022.3175348628</v>
      </c>
      <c r="BN185" s="233">
        <v>23.70712</v>
      </c>
      <c r="BO185" s="233">
        <v>0</v>
      </c>
      <c r="BP185" s="233">
        <v>0</v>
      </c>
      <c r="BQ185" s="233">
        <v>0</v>
      </c>
      <c r="BR185" s="233">
        <v>127.68804</v>
      </c>
      <c r="BS185" s="233">
        <v>92.718469999999996</v>
      </c>
      <c r="BT185" s="233">
        <v>8.6372686000000094</v>
      </c>
      <c r="BU185" s="233">
        <v>11.661925200000001</v>
      </c>
      <c r="BV185" s="233">
        <v>11.8304911</v>
      </c>
      <c r="BW185" s="233">
        <v>0</v>
      </c>
      <c r="BX185" s="233">
        <v>0</v>
      </c>
      <c r="BY185" s="234">
        <v>990.1878499628001</v>
      </c>
      <c r="BZ185" s="236" t="s">
        <v>109</v>
      </c>
      <c r="CA185" s="236" t="s">
        <v>109</v>
      </c>
      <c r="CB185" s="236" t="s">
        <v>196</v>
      </c>
      <c r="CC185" s="233">
        <v>0</v>
      </c>
      <c r="CD185" s="233">
        <v>0</v>
      </c>
      <c r="CE185" s="233">
        <v>0</v>
      </c>
      <c r="CF185" s="233">
        <v>0</v>
      </c>
      <c r="CG185" s="233">
        <v>140.92819</v>
      </c>
      <c r="CH185" s="233">
        <v>3.0880700000000001</v>
      </c>
      <c r="CI185" s="233">
        <v>0</v>
      </c>
      <c r="CJ185" s="237">
        <v>0</v>
      </c>
      <c r="CK185" s="177" t="s">
        <v>128</v>
      </c>
      <c r="CL185" s="177">
        <v>3.9</v>
      </c>
      <c r="CM185" s="155" t="s">
        <v>109</v>
      </c>
      <c r="CN185" s="229">
        <v>0</v>
      </c>
      <c r="CO185" s="229">
        <v>1</v>
      </c>
      <c r="CP185" t="s">
        <v>155</v>
      </c>
      <c r="CR185" s="248"/>
    </row>
    <row r="186" spans="1:96" ht="14.4" x14ac:dyDescent="0.3">
      <c r="A186">
        <v>183</v>
      </c>
      <c r="B186" s="173" t="s">
        <v>1446</v>
      </c>
      <c r="C186" s="259"/>
      <c r="D186" s="260"/>
      <c r="E186" t="s">
        <v>177</v>
      </c>
      <c r="F186" t="s">
        <v>1447</v>
      </c>
      <c r="G186" s="177" t="s">
        <v>886</v>
      </c>
      <c r="H186" s="177" t="s">
        <v>146</v>
      </c>
      <c r="I186" s="177" t="s">
        <v>109</v>
      </c>
      <c r="J186" s="177" t="s">
        <v>109</v>
      </c>
      <c r="K186" s="177" t="s">
        <v>114</v>
      </c>
      <c r="L186" s="177" t="s">
        <v>251</v>
      </c>
      <c r="M186" s="177" t="s">
        <v>109</v>
      </c>
      <c r="N186" s="177" t="s">
        <v>109</v>
      </c>
      <c r="O186" s="180">
        <v>45696</v>
      </c>
      <c r="P186" s="177" t="s">
        <v>109</v>
      </c>
      <c r="Q186" s="177" t="s">
        <v>109</v>
      </c>
      <c r="R186" s="177" t="s">
        <v>109</v>
      </c>
      <c r="S186" s="177" t="s">
        <v>109</v>
      </c>
      <c r="T186" s="177" t="s">
        <v>116</v>
      </c>
      <c r="U186" s="177" t="s">
        <v>117</v>
      </c>
      <c r="V186" s="177" t="b">
        <v>0</v>
      </c>
      <c r="W186" s="177" t="s">
        <v>109</v>
      </c>
      <c r="X186" s="261"/>
      <c r="Y186" s="177">
        <v>0.63688100000000003</v>
      </c>
      <c r="Z186" s="177" t="s">
        <v>118</v>
      </c>
      <c r="AA186" s="177">
        <v>69</v>
      </c>
      <c r="AB186" s="177" t="s">
        <v>109</v>
      </c>
      <c r="AC186" s="177">
        <v>4.0999999999999996</v>
      </c>
      <c r="AD186" s="177" t="s">
        <v>1448</v>
      </c>
      <c r="AE186" s="177" t="s">
        <v>1449</v>
      </c>
      <c r="AF186" s="177">
        <v>1</v>
      </c>
      <c r="AG186" s="177">
        <v>17143</v>
      </c>
      <c r="AH186" s="177" t="s">
        <v>121</v>
      </c>
      <c r="AI186" s="177" t="b">
        <v>1</v>
      </c>
      <c r="AJ186" s="180">
        <v>43347</v>
      </c>
      <c r="AK186" s="177" t="s">
        <v>122</v>
      </c>
      <c r="AL186" s="177">
        <v>2018</v>
      </c>
      <c r="AM186" s="177" t="s">
        <v>118</v>
      </c>
      <c r="AN186" s="177" t="b">
        <v>0</v>
      </c>
      <c r="AO186" s="177" t="s">
        <v>118</v>
      </c>
      <c r="AP186" s="177" t="s">
        <v>118</v>
      </c>
      <c r="AQ186" s="177" t="s">
        <v>118</v>
      </c>
      <c r="AR186" s="177" t="b">
        <v>0</v>
      </c>
      <c r="AS186" s="177" t="s">
        <v>123</v>
      </c>
      <c r="AT186" s="180" t="s">
        <v>123</v>
      </c>
      <c r="AU186" s="177" t="s">
        <v>124</v>
      </c>
      <c r="AV186" s="177" t="s">
        <v>109</v>
      </c>
      <c r="AW186" s="177" t="s">
        <v>118</v>
      </c>
      <c r="AX186" s="177" t="s">
        <v>118</v>
      </c>
      <c r="AY186" s="177" t="s">
        <v>123</v>
      </c>
      <c r="AZ186" s="177" t="s">
        <v>109</v>
      </c>
      <c r="BA186" s="177" t="s">
        <v>125</v>
      </c>
      <c r="BB186" s="177">
        <v>2027</v>
      </c>
      <c r="BC186" s="177" t="s">
        <v>397</v>
      </c>
      <c r="BD186" s="177" t="s">
        <v>109</v>
      </c>
      <c r="BE186" s="180" t="s">
        <v>1411</v>
      </c>
      <c r="BF186" s="180" t="s">
        <v>579</v>
      </c>
      <c r="BG186" s="180" t="s">
        <v>625</v>
      </c>
      <c r="BH186" s="177" t="s">
        <v>138</v>
      </c>
      <c r="BI186" s="177" t="s">
        <v>109</v>
      </c>
      <c r="BJ186" s="177" t="b">
        <v>0</v>
      </c>
      <c r="BK186" s="233">
        <v>359.99999000000003</v>
      </c>
      <c r="BL186" s="234" t="s">
        <v>128</v>
      </c>
      <c r="BM186" s="233">
        <v>1303.3031800000001</v>
      </c>
      <c r="BN186" s="233">
        <v>94.399550000000005</v>
      </c>
      <c r="BO186" s="233">
        <v>15.675610000000001</v>
      </c>
      <c r="BP186" s="233">
        <v>54.492319999999999</v>
      </c>
      <c r="BQ186" s="233">
        <v>45.666519999999998</v>
      </c>
      <c r="BR186" s="233">
        <v>8.6488800000000001</v>
      </c>
      <c r="BS186" s="233">
        <v>0</v>
      </c>
      <c r="BT186" s="233">
        <v>0</v>
      </c>
      <c r="BU186" s="233">
        <v>0</v>
      </c>
      <c r="BV186" s="233">
        <v>0</v>
      </c>
      <c r="BW186" s="233">
        <v>0</v>
      </c>
      <c r="BX186" s="233">
        <v>0</v>
      </c>
      <c r="BY186" s="234">
        <v>1303.3031800000003</v>
      </c>
      <c r="BZ186" s="236" t="s">
        <v>109</v>
      </c>
      <c r="CA186" s="236" t="s">
        <v>109</v>
      </c>
      <c r="CB186" s="236" t="s">
        <v>109</v>
      </c>
      <c r="CC186" s="233">
        <v>0</v>
      </c>
      <c r="CD186" s="233">
        <v>0</v>
      </c>
      <c r="CE186" s="233">
        <v>0</v>
      </c>
      <c r="CF186" s="233">
        <v>0</v>
      </c>
      <c r="CG186" s="233">
        <v>0</v>
      </c>
      <c r="CH186" s="233">
        <v>0</v>
      </c>
      <c r="CI186" s="233">
        <v>0</v>
      </c>
      <c r="CJ186" s="237">
        <v>0</v>
      </c>
      <c r="CK186" s="177" t="s">
        <v>128</v>
      </c>
      <c r="CL186" s="177">
        <v>4.8</v>
      </c>
      <c r="CM186" s="155" t="s">
        <v>109</v>
      </c>
      <c r="CN186" s="229">
        <v>0</v>
      </c>
      <c r="CO186" s="229">
        <v>1</v>
      </c>
      <c r="CP186" t="s">
        <v>1450</v>
      </c>
      <c r="CR186" s="248"/>
    </row>
    <row r="187" spans="1:96" ht="14.4" x14ac:dyDescent="0.3">
      <c r="A187">
        <v>184</v>
      </c>
      <c r="B187" s="173" t="s">
        <v>1451</v>
      </c>
      <c r="C187" s="259"/>
      <c r="D187" s="260"/>
      <c r="E187" t="s">
        <v>1043</v>
      </c>
      <c r="F187" t="s">
        <v>1452</v>
      </c>
      <c r="G187" s="177" t="s">
        <v>811</v>
      </c>
      <c r="H187" s="177" t="s">
        <v>146</v>
      </c>
      <c r="I187" s="177" t="s">
        <v>109</v>
      </c>
      <c r="J187" s="177" t="s">
        <v>109</v>
      </c>
      <c r="K187" s="177" t="s">
        <v>114</v>
      </c>
      <c r="L187" s="177" t="s">
        <v>1453</v>
      </c>
      <c r="M187" s="177" t="s">
        <v>109</v>
      </c>
      <c r="N187" s="177" t="s">
        <v>109</v>
      </c>
      <c r="O187" s="180">
        <v>45698</v>
      </c>
      <c r="P187" s="177" t="s">
        <v>109</v>
      </c>
      <c r="Q187" s="177" t="s">
        <v>109</v>
      </c>
      <c r="R187" s="177" t="s">
        <v>109</v>
      </c>
      <c r="S187" s="177" t="s">
        <v>109</v>
      </c>
      <c r="T187" s="177" t="s">
        <v>404</v>
      </c>
      <c r="U187" s="177" t="s">
        <v>117</v>
      </c>
      <c r="V187" s="177" t="b">
        <v>0</v>
      </c>
      <c r="W187" s="177" t="s">
        <v>109</v>
      </c>
      <c r="X187" s="261"/>
      <c r="Y187" s="177">
        <v>0.23905899999999999</v>
      </c>
      <c r="Z187" s="177" t="s">
        <v>118</v>
      </c>
      <c r="AA187" s="177">
        <v>69</v>
      </c>
      <c r="AB187" s="177" t="s">
        <v>109</v>
      </c>
      <c r="AC187" s="177">
        <v>4.0999999999999996</v>
      </c>
      <c r="AD187" s="177" t="s">
        <v>1454</v>
      </c>
      <c r="AE187" s="177" t="s">
        <v>1455</v>
      </c>
      <c r="AF187" s="177">
        <v>1</v>
      </c>
      <c r="AG187" s="177">
        <v>17145</v>
      </c>
      <c r="AH187" s="177" t="s">
        <v>121</v>
      </c>
      <c r="AI187" s="177" t="b">
        <v>1</v>
      </c>
      <c r="AJ187" s="180">
        <v>45103</v>
      </c>
      <c r="AK187" s="177" t="s">
        <v>122</v>
      </c>
      <c r="AL187" s="177">
        <v>2017</v>
      </c>
      <c r="AM187" s="177" t="s">
        <v>109</v>
      </c>
      <c r="AN187" s="177" t="b">
        <v>0</v>
      </c>
      <c r="AO187" s="177" t="s">
        <v>109</v>
      </c>
      <c r="AP187" s="177" t="s">
        <v>109</v>
      </c>
      <c r="AQ187" s="177" t="s">
        <v>118</v>
      </c>
      <c r="AR187" s="177" t="b">
        <v>0</v>
      </c>
      <c r="AS187" s="177" t="s">
        <v>123</v>
      </c>
      <c r="AT187" s="180" t="s">
        <v>123</v>
      </c>
      <c r="AU187" s="177" t="s">
        <v>124</v>
      </c>
      <c r="AV187" s="177" t="s">
        <v>109</v>
      </c>
      <c r="AW187" s="177" t="s">
        <v>118</v>
      </c>
      <c r="AX187" s="177" t="s">
        <v>118</v>
      </c>
      <c r="AY187" s="177" t="s">
        <v>135</v>
      </c>
      <c r="AZ187" s="177" t="s">
        <v>109</v>
      </c>
      <c r="BA187" s="177" t="s">
        <v>125</v>
      </c>
      <c r="BB187" s="177" t="s">
        <v>109</v>
      </c>
      <c r="BC187" s="177" t="s">
        <v>126</v>
      </c>
      <c r="BD187" s="177" t="s">
        <v>109</v>
      </c>
      <c r="BE187" s="180" t="s">
        <v>1456</v>
      </c>
      <c r="BF187" s="180" t="s">
        <v>1457</v>
      </c>
      <c r="BG187" s="180" t="s">
        <v>1457</v>
      </c>
      <c r="BH187" s="177" t="s">
        <v>109</v>
      </c>
      <c r="BI187" s="177" t="s">
        <v>109</v>
      </c>
      <c r="BJ187" s="177" t="b">
        <v>0</v>
      </c>
      <c r="BK187" s="233">
        <v>326.65879999999999</v>
      </c>
      <c r="BL187" s="234" t="s">
        <v>128</v>
      </c>
      <c r="BM187" s="233">
        <v>2822.3130099999998</v>
      </c>
      <c r="BN187" s="233">
        <v>1620.3057200000001</v>
      </c>
      <c r="BO187" s="233">
        <v>93.947800000000001</v>
      </c>
      <c r="BP187" s="233">
        <v>4.2942299999999998</v>
      </c>
      <c r="BQ187" s="233">
        <v>0</v>
      </c>
      <c r="BR187" s="233">
        <v>0</v>
      </c>
      <c r="BS187" s="233">
        <v>0</v>
      </c>
      <c r="BT187" s="233">
        <v>0</v>
      </c>
      <c r="BU187" s="233">
        <v>0</v>
      </c>
      <c r="BV187" s="233">
        <v>0</v>
      </c>
      <c r="BW187" s="233">
        <v>0</v>
      </c>
      <c r="BX187" s="233">
        <v>0</v>
      </c>
      <c r="BY187" s="234">
        <v>0</v>
      </c>
      <c r="BZ187" s="236" t="s">
        <v>109</v>
      </c>
      <c r="CA187" s="236" t="s">
        <v>109</v>
      </c>
      <c r="CB187" s="236" t="s">
        <v>157</v>
      </c>
      <c r="CC187" s="233">
        <v>2724.07098</v>
      </c>
      <c r="CD187" s="233">
        <v>93.947800000000001</v>
      </c>
      <c r="CE187" s="233">
        <v>4.2942299999999998</v>
      </c>
      <c r="CF187" s="233">
        <v>0</v>
      </c>
      <c r="CG187" s="233">
        <v>0</v>
      </c>
      <c r="CH187" s="233">
        <v>0</v>
      </c>
      <c r="CI187" s="233">
        <v>0</v>
      </c>
      <c r="CJ187" s="237">
        <v>0</v>
      </c>
      <c r="CK187" s="177" t="s">
        <v>128</v>
      </c>
      <c r="CL187" s="177" t="s">
        <v>128</v>
      </c>
      <c r="CM187" s="155" t="s">
        <v>109</v>
      </c>
      <c r="CN187" s="229">
        <v>0</v>
      </c>
      <c r="CO187" s="229">
        <v>1</v>
      </c>
      <c r="CP187" t="s">
        <v>155</v>
      </c>
      <c r="CR187" s="248"/>
    </row>
    <row r="188" spans="1:96" ht="14.4" x14ac:dyDescent="0.3">
      <c r="A188">
        <v>185</v>
      </c>
      <c r="B188" s="173" t="s">
        <v>1458</v>
      </c>
      <c r="C188" s="259"/>
      <c r="D188" s="260"/>
      <c r="E188" t="s">
        <v>483</v>
      </c>
      <c r="F188" t="s">
        <v>1459</v>
      </c>
      <c r="G188" s="177" t="s">
        <v>886</v>
      </c>
      <c r="H188" s="177" t="s">
        <v>146</v>
      </c>
      <c r="I188" s="177" t="s">
        <v>109</v>
      </c>
      <c r="J188" s="177" t="s">
        <v>109</v>
      </c>
      <c r="K188" s="177" t="s">
        <v>114</v>
      </c>
      <c r="L188" s="177" t="s">
        <v>251</v>
      </c>
      <c r="M188" s="177" t="s">
        <v>109</v>
      </c>
      <c r="N188" s="177" t="s">
        <v>109</v>
      </c>
      <c r="O188" s="180">
        <v>45669</v>
      </c>
      <c r="P188" s="177" t="s">
        <v>109</v>
      </c>
      <c r="Q188" s="177" t="s">
        <v>109</v>
      </c>
      <c r="R188" s="177" t="s">
        <v>109</v>
      </c>
      <c r="S188" s="177" t="s">
        <v>109</v>
      </c>
      <c r="T188" s="177" t="s">
        <v>116</v>
      </c>
      <c r="U188" s="177" t="s">
        <v>117</v>
      </c>
      <c r="V188" s="177" t="b">
        <v>0</v>
      </c>
      <c r="W188" s="177" t="s">
        <v>109</v>
      </c>
      <c r="X188" s="261"/>
      <c r="Y188" s="177">
        <v>6.5770999999999996E-2</v>
      </c>
      <c r="Z188" s="177" t="s">
        <v>118</v>
      </c>
      <c r="AA188" s="177">
        <v>69</v>
      </c>
      <c r="AB188" s="177" t="s">
        <v>109</v>
      </c>
      <c r="AC188" s="177">
        <v>4.0999999999999996</v>
      </c>
      <c r="AD188" s="177" t="s">
        <v>1460</v>
      </c>
      <c r="AE188" s="177" t="s">
        <v>1461</v>
      </c>
      <c r="AF188" s="177">
        <v>1</v>
      </c>
      <c r="AG188" s="177">
        <v>17147</v>
      </c>
      <c r="AH188" s="177" t="s">
        <v>121</v>
      </c>
      <c r="AI188" s="177" t="b">
        <v>1</v>
      </c>
      <c r="AJ188" s="180">
        <v>43987</v>
      </c>
      <c r="AK188" s="177" t="s">
        <v>122</v>
      </c>
      <c r="AL188" s="177">
        <v>2017</v>
      </c>
      <c r="AM188" s="177" t="s">
        <v>118</v>
      </c>
      <c r="AN188" s="177" t="b">
        <v>0</v>
      </c>
      <c r="AO188" s="177" t="s">
        <v>118</v>
      </c>
      <c r="AP188" s="177" t="s">
        <v>118</v>
      </c>
      <c r="AQ188" s="177" t="s">
        <v>118</v>
      </c>
      <c r="AR188" s="177" t="b">
        <v>0</v>
      </c>
      <c r="AS188" s="177" t="s">
        <v>123</v>
      </c>
      <c r="AT188" s="180" t="s">
        <v>123</v>
      </c>
      <c r="AU188" s="177" t="s">
        <v>124</v>
      </c>
      <c r="AV188" s="177" t="s">
        <v>109</v>
      </c>
      <c r="AW188" s="177" t="s">
        <v>118</v>
      </c>
      <c r="AX188" s="177" t="s">
        <v>118</v>
      </c>
      <c r="AY188" s="177" t="s">
        <v>123</v>
      </c>
      <c r="AZ188" s="177" t="s">
        <v>1462</v>
      </c>
      <c r="BA188" s="177" t="s">
        <v>125</v>
      </c>
      <c r="BB188" s="177">
        <v>2027</v>
      </c>
      <c r="BC188" s="177" t="s">
        <v>397</v>
      </c>
      <c r="BD188" s="177" t="s">
        <v>109</v>
      </c>
      <c r="BE188" s="180" t="s">
        <v>109</v>
      </c>
      <c r="BF188" s="180" t="s">
        <v>1463</v>
      </c>
      <c r="BG188" s="180" t="s">
        <v>109</v>
      </c>
      <c r="BH188" s="177" t="s">
        <v>109</v>
      </c>
      <c r="BI188" s="177" t="s">
        <v>109</v>
      </c>
      <c r="BJ188" s="177" t="b">
        <v>0</v>
      </c>
      <c r="BK188" s="233">
        <v>1500.4159999999999</v>
      </c>
      <c r="BL188" s="234" t="s">
        <v>128</v>
      </c>
      <c r="BM188" s="254">
        <v>3907.7710000000002</v>
      </c>
      <c r="BN188" s="254">
        <v>15.14805</v>
      </c>
      <c r="BO188" s="254">
        <v>0</v>
      </c>
      <c r="BP188" s="254">
        <v>0</v>
      </c>
      <c r="BQ188" s="254">
        <v>0</v>
      </c>
      <c r="BR188" s="254">
        <v>0</v>
      </c>
      <c r="BS188" s="254">
        <v>0</v>
      </c>
      <c r="BT188" s="254">
        <v>0</v>
      </c>
      <c r="BU188" s="254">
        <v>0</v>
      </c>
      <c r="BV188" s="254">
        <v>3551.4982689999997</v>
      </c>
      <c r="BW188" s="254">
        <v>0</v>
      </c>
      <c r="BX188" s="254">
        <v>0</v>
      </c>
      <c r="BY188" s="255">
        <v>356.27300000000002</v>
      </c>
      <c r="BZ188" s="236" t="s">
        <v>109</v>
      </c>
      <c r="CA188" s="236" t="s">
        <v>109</v>
      </c>
      <c r="CB188" s="236" t="s">
        <v>109</v>
      </c>
      <c r="CC188" s="254">
        <v>0</v>
      </c>
      <c r="CD188" s="254">
        <v>0</v>
      </c>
      <c r="CE188" s="254">
        <v>0</v>
      </c>
      <c r="CF188" s="254">
        <v>0</v>
      </c>
      <c r="CG188" s="254">
        <v>0</v>
      </c>
      <c r="CH188" s="254">
        <v>0</v>
      </c>
      <c r="CI188" s="254">
        <v>0</v>
      </c>
      <c r="CJ188" s="237">
        <v>0</v>
      </c>
      <c r="CK188" s="177" t="s">
        <v>128</v>
      </c>
      <c r="CL188" s="177">
        <v>5.4</v>
      </c>
      <c r="CM188" s="155" t="s">
        <v>109</v>
      </c>
      <c r="CN188" s="229">
        <v>0</v>
      </c>
      <c r="CO188" s="229">
        <v>1</v>
      </c>
      <c r="CP188" t="s">
        <v>155</v>
      </c>
      <c r="CR188" s="248"/>
    </row>
    <row r="189" spans="1:96" ht="14.4" x14ac:dyDescent="0.3">
      <c r="A189">
        <v>186</v>
      </c>
      <c r="B189" s="173" t="s">
        <v>1464</v>
      </c>
      <c r="C189" s="259"/>
      <c r="D189" s="260"/>
      <c r="E189" t="s">
        <v>329</v>
      </c>
      <c r="F189" t="s">
        <v>1447</v>
      </c>
      <c r="G189" s="177" t="s">
        <v>886</v>
      </c>
      <c r="H189" s="177" t="s">
        <v>146</v>
      </c>
      <c r="I189" s="177" t="s">
        <v>109</v>
      </c>
      <c r="J189" s="177" t="s">
        <v>109</v>
      </c>
      <c r="K189" s="177" t="s">
        <v>114</v>
      </c>
      <c r="L189" s="177" t="s">
        <v>251</v>
      </c>
      <c r="M189" s="177" t="s">
        <v>109</v>
      </c>
      <c r="N189" s="177" t="s">
        <v>109</v>
      </c>
      <c r="O189" s="180">
        <v>45696</v>
      </c>
      <c r="P189" s="177" t="s">
        <v>109</v>
      </c>
      <c r="Q189" s="177" t="s">
        <v>109</v>
      </c>
      <c r="R189" s="177" t="s">
        <v>109</v>
      </c>
      <c r="S189" s="177" t="s">
        <v>109</v>
      </c>
      <c r="T189" s="177" t="s">
        <v>116</v>
      </c>
      <c r="U189" s="177" t="s">
        <v>117</v>
      </c>
      <c r="V189" s="177" t="b">
        <v>0</v>
      </c>
      <c r="W189" s="177" t="s">
        <v>109</v>
      </c>
      <c r="X189" s="261"/>
      <c r="Y189" s="177">
        <v>4.0087489999999999</v>
      </c>
      <c r="Z189" s="177" t="s">
        <v>118</v>
      </c>
      <c r="AA189" s="177">
        <v>69</v>
      </c>
      <c r="AB189" s="177" t="s">
        <v>109</v>
      </c>
      <c r="AC189" s="177">
        <v>4.0999999999999996</v>
      </c>
      <c r="AD189" s="177" t="s">
        <v>1465</v>
      </c>
      <c r="AE189" s="177" t="s">
        <v>1466</v>
      </c>
      <c r="AF189" s="177">
        <v>1</v>
      </c>
      <c r="AG189" s="177">
        <v>17151</v>
      </c>
      <c r="AH189" s="177" t="s">
        <v>121</v>
      </c>
      <c r="AI189" s="177" t="b">
        <v>1</v>
      </c>
      <c r="AJ189" s="180">
        <v>42996</v>
      </c>
      <c r="AK189" s="177" t="s">
        <v>122</v>
      </c>
      <c r="AL189" s="177">
        <v>2018</v>
      </c>
      <c r="AM189" s="177" t="s">
        <v>109</v>
      </c>
      <c r="AN189" s="177" t="b">
        <v>0</v>
      </c>
      <c r="AO189" s="177" t="s">
        <v>118</v>
      </c>
      <c r="AP189" s="177" t="s">
        <v>118</v>
      </c>
      <c r="AQ189" s="177" t="s">
        <v>118</v>
      </c>
      <c r="AR189" s="177" t="b">
        <v>0</v>
      </c>
      <c r="AS189" s="177" t="s">
        <v>123</v>
      </c>
      <c r="AT189" s="180" t="s">
        <v>123</v>
      </c>
      <c r="AU189" s="177" t="s">
        <v>124</v>
      </c>
      <c r="AV189" s="177" t="s">
        <v>109</v>
      </c>
      <c r="AW189" s="177" t="s">
        <v>118</v>
      </c>
      <c r="AX189" s="177" t="s">
        <v>118</v>
      </c>
      <c r="AY189" s="177" t="s">
        <v>123</v>
      </c>
      <c r="AZ189" s="177" t="s">
        <v>478</v>
      </c>
      <c r="BA189" s="177" t="s">
        <v>125</v>
      </c>
      <c r="BB189" s="177">
        <v>2025</v>
      </c>
      <c r="BC189" s="177" t="s">
        <v>397</v>
      </c>
      <c r="BD189" s="177" t="s">
        <v>109</v>
      </c>
      <c r="BE189" s="180" t="s">
        <v>1467</v>
      </c>
      <c r="BF189" s="180" t="s">
        <v>152</v>
      </c>
      <c r="BG189" s="180" t="s">
        <v>799</v>
      </c>
      <c r="BH189" s="177" t="s">
        <v>138</v>
      </c>
      <c r="BI189" s="177" t="s">
        <v>109</v>
      </c>
      <c r="BJ189" s="177" t="b">
        <v>0</v>
      </c>
      <c r="BK189" s="233">
        <v>15490.906000000001</v>
      </c>
      <c r="BL189" s="234" t="s">
        <v>128</v>
      </c>
      <c r="BM189" s="233">
        <v>1883.4372699999999</v>
      </c>
      <c r="BN189" s="233">
        <v>19.824020000000001</v>
      </c>
      <c r="BO189" s="233">
        <v>23.92277</v>
      </c>
      <c r="BP189" s="233">
        <v>23.20027</v>
      </c>
      <c r="BQ189" s="233">
        <v>23.40682</v>
      </c>
      <c r="BR189" s="233">
        <v>13.90011</v>
      </c>
      <c r="BS189" s="233">
        <v>0</v>
      </c>
      <c r="BT189" s="233">
        <v>0</v>
      </c>
      <c r="BU189" s="233">
        <v>0</v>
      </c>
      <c r="BV189" s="233">
        <v>0</v>
      </c>
      <c r="BW189" s="233">
        <v>0</v>
      </c>
      <c r="BX189" s="233">
        <v>0</v>
      </c>
      <c r="BY189" s="234">
        <v>1883.4372699999999</v>
      </c>
      <c r="BZ189" s="236" t="s">
        <v>109</v>
      </c>
      <c r="CA189" s="236" t="s">
        <v>109</v>
      </c>
      <c r="CB189" s="236" t="s">
        <v>109</v>
      </c>
      <c r="CC189" s="233">
        <v>0</v>
      </c>
      <c r="CD189" s="233">
        <v>0</v>
      </c>
      <c r="CE189" s="233">
        <v>0</v>
      </c>
      <c r="CF189" s="233">
        <v>0</v>
      </c>
      <c r="CG189" s="233">
        <v>0</v>
      </c>
      <c r="CH189" s="233">
        <v>0</v>
      </c>
      <c r="CI189" s="233">
        <v>0</v>
      </c>
      <c r="CJ189" s="237">
        <v>0</v>
      </c>
      <c r="CK189" s="177" t="s">
        <v>128</v>
      </c>
      <c r="CL189" s="177">
        <v>0.6</v>
      </c>
      <c r="CM189" s="155" t="s">
        <v>109</v>
      </c>
      <c r="CN189" s="229">
        <v>0</v>
      </c>
      <c r="CO189" s="229">
        <v>1</v>
      </c>
      <c r="CP189" t="s">
        <v>1450</v>
      </c>
      <c r="CR189" s="248"/>
    </row>
    <row r="190" spans="1:96" ht="14.4" x14ac:dyDescent="0.3">
      <c r="A190">
        <v>187</v>
      </c>
      <c r="B190" s="173" t="s">
        <v>1468</v>
      </c>
      <c r="C190" s="259"/>
      <c r="D190" s="260"/>
      <c r="E190" t="s">
        <v>329</v>
      </c>
      <c r="F190" t="s">
        <v>1469</v>
      </c>
      <c r="G190" s="177" t="s">
        <v>886</v>
      </c>
      <c r="H190" s="177" t="s">
        <v>113</v>
      </c>
      <c r="I190" s="177" t="s">
        <v>109</v>
      </c>
      <c r="J190" s="177" t="s">
        <v>109</v>
      </c>
      <c r="K190" s="177" t="s">
        <v>114</v>
      </c>
      <c r="L190" s="177" t="s">
        <v>251</v>
      </c>
      <c r="M190" s="177" t="s">
        <v>109</v>
      </c>
      <c r="N190" s="177" t="s">
        <v>109</v>
      </c>
      <c r="O190" s="180">
        <v>45750</v>
      </c>
      <c r="P190" s="177" t="s">
        <v>109</v>
      </c>
      <c r="Q190" s="177" t="s">
        <v>109</v>
      </c>
      <c r="R190" s="177" t="s">
        <v>109</v>
      </c>
      <c r="S190" s="177" t="s">
        <v>109</v>
      </c>
      <c r="T190" s="177" t="s">
        <v>116</v>
      </c>
      <c r="U190" s="177" t="s">
        <v>117</v>
      </c>
      <c r="V190" s="177" t="b">
        <v>0</v>
      </c>
      <c r="W190" s="177" t="s">
        <v>109</v>
      </c>
      <c r="X190" s="261"/>
      <c r="Y190" s="177" t="s">
        <v>1470</v>
      </c>
      <c r="Z190" s="177" t="s">
        <v>118</v>
      </c>
      <c r="AA190" s="177">
        <v>69</v>
      </c>
      <c r="AB190" s="177" t="s">
        <v>109</v>
      </c>
      <c r="AC190" s="177">
        <v>4.0999999999999996</v>
      </c>
      <c r="AD190" s="177" t="s">
        <v>1471</v>
      </c>
      <c r="AE190" s="177" t="s">
        <v>1472</v>
      </c>
      <c r="AF190" s="177">
        <v>1</v>
      </c>
      <c r="AG190" s="177">
        <v>17152</v>
      </c>
      <c r="AH190" s="177" t="s">
        <v>121</v>
      </c>
      <c r="AI190" s="177" t="b">
        <v>1</v>
      </c>
      <c r="AJ190" s="180">
        <v>44908</v>
      </c>
      <c r="AK190" s="177" t="s">
        <v>122</v>
      </c>
      <c r="AL190" s="177">
        <v>2018</v>
      </c>
      <c r="AM190" s="177" t="s">
        <v>109</v>
      </c>
      <c r="AN190" s="177" t="b">
        <v>0</v>
      </c>
      <c r="AO190" s="177" t="s">
        <v>109</v>
      </c>
      <c r="AP190" s="177" t="s">
        <v>109</v>
      </c>
      <c r="AQ190" s="177" t="s">
        <v>118</v>
      </c>
      <c r="AR190" s="177" t="b">
        <v>0</v>
      </c>
      <c r="AS190" s="177" t="s">
        <v>123</v>
      </c>
      <c r="AT190" s="180" t="s">
        <v>123</v>
      </c>
      <c r="AU190" s="177" t="s">
        <v>124</v>
      </c>
      <c r="AV190" s="177" t="s">
        <v>109</v>
      </c>
      <c r="AW190" s="177" t="s">
        <v>109</v>
      </c>
      <c r="AX190" s="177" t="s">
        <v>109</v>
      </c>
      <c r="AY190" s="177" t="s">
        <v>135</v>
      </c>
      <c r="AZ190" s="177" t="s">
        <v>109</v>
      </c>
      <c r="BA190" s="177" t="s">
        <v>125</v>
      </c>
      <c r="BB190" s="177" t="s">
        <v>109</v>
      </c>
      <c r="BC190" s="177" t="s">
        <v>126</v>
      </c>
      <c r="BD190" s="177" t="s">
        <v>109</v>
      </c>
      <c r="BE190" s="180" t="s">
        <v>1473</v>
      </c>
      <c r="BF190" s="180" t="s">
        <v>1242</v>
      </c>
      <c r="BG190" s="180" t="s">
        <v>1242</v>
      </c>
      <c r="BH190" s="177" t="s">
        <v>699</v>
      </c>
      <c r="BI190" s="177" t="s">
        <v>893</v>
      </c>
      <c r="BJ190" s="177" t="b">
        <v>1</v>
      </c>
      <c r="BK190" s="233">
        <v>2600</v>
      </c>
      <c r="BL190" s="234" t="s">
        <v>128</v>
      </c>
      <c r="BM190" s="233">
        <v>64008.331822385997</v>
      </c>
      <c r="BN190" s="233">
        <v>8953.7822061999996</v>
      </c>
      <c r="BO190" s="233">
        <v>13885.518126299999</v>
      </c>
      <c r="BP190" s="233">
        <v>19644.067305699999</v>
      </c>
      <c r="BQ190" s="233">
        <v>15451.8938863</v>
      </c>
      <c r="BR190" s="233">
        <v>-48.423414000000001</v>
      </c>
      <c r="BS190" s="233">
        <v>126.436088</v>
      </c>
      <c r="BT190" s="233">
        <v>0</v>
      </c>
      <c r="BU190" s="233">
        <v>0</v>
      </c>
      <c r="BV190" s="233">
        <v>0</v>
      </c>
      <c r="BW190" s="233">
        <v>0</v>
      </c>
      <c r="BX190" s="233">
        <v>0</v>
      </c>
      <c r="BY190" s="234">
        <v>0</v>
      </c>
      <c r="BZ190" s="236" t="s">
        <v>109</v>
      </c>
      <c r="CA190" s="236" t="s">
        <v>109</v>
      </c>
      <c r="CB190" s="236" t="s">
        <v>129</v>
      </c>
      <c r="CC190" s="233">
        <v>5800.3574799999997</v>
      </c>
      <c r="CD190" s="233">
        <v>-170.83501000000001</v>
      </c>
      <c r="CE190" s="233">
        <v>244.55466999999999</v>
      </c>
      <c r="CF190" s="233">
        <v>58056.242008399997</v>
      </c>
      <c r="CG190" s="233">
        <v>-48.423414000000001</v>
      </c>
      <c r="CH190" s="233">
        <v>126.436088</v>
      </c>
      <c r="CI190" s="233">
        <v>0</v>
      </c>
      <c r="CJ190" s="237">
        <v>0</v>
      </c>
      <c r="CK190" s="177" t="s">
        <v>128</v>
      </c>
      <c r="CL190" s="177" t="s">
        <v>128</v>
      </c>
      <c r="CM190" s="155" t="s">
        <v>109</v>
      </c>
      <c r="CN190" s="229">
        <v>0</v>
      </c>
      <c r="CO190" s="229">
        <v>1</v>
      </c>
      <c r="CP190" t="s">
        <v>155</v>
      </c>
      <c r="CR190" s="248"/>
    </row>
    <row r="191" spans="1:96" ht="14.4" x14ac:dyDescent="0.3">
      <c r="A191">
        <v>188</v>
      </c>
      <c r="B191" s="173" t="s">
        <v>1474</v>
      </c>
      <c r="C191" s="259"/>
      <c r="D191" s="260"/>
      <c r="E191" t="s">
        <v>329</v>
      </c>
      <c r="F191" t="s">
        <v>1475</v>
      </c>
      <c r="G191" s="177" t="s">
        <v>111</v>
      </c>
      <c r="H191" s="177" t="s">
        <v>113</v>
      </c>
      <c r="I191" s="177" t="s">
        <v>109</v>
      </c>
      <c r="J191" s="177" t="s">
        <v>109</v>
      </c>
      <c r="K191" s="177" t="s">
        <v>114</v>
      </c>
      <c r="L191" s="177" t="s">
        <v>115</v>
      </c>
      <c r="M191" s="177" t="s">
        <v>109</v>
      </c>
      <c r="N191" s="177" t="s">
        <v>109</v>
      </c>
      <c r="O191" s="180">
        <v>45761</v>
      </c>
      <c r="P191" s="177" t="s">
        <v>1476</v>
      </c>
      <c r="Q191" s="177" t="s">
        <v>109</v>
      </c>
      <c r="R191" s="177" t="s">
        <v>725</v>
      </c>
      <c r="S191" s="177" t="s">
        <v>109</v>
      </c>
      <c r="T191" s="177" t="s">
        <v>116</v>
      </c>
      <c r="U191" s="177" t="s">
        <v>117</v>
      </c>
      <c r="V191" s="177" t="b">
        <v>0</v>
      </c>
      <c r="W191" s="177" t="s">
        <v>109</v>
      </c>
      <c r="X191" s="261"/>
      <c r="Y191" s="177">
        <v>3.128295</v>
      </c>
      <c r="Z191" s="176">
        <v>1.7191909999999999</v>
      </c>
      <c r="AA191" s="177">
        <v>69</v>
      </c>
      <c r="AB191" s="177" t="s">
        <v>1477</v>
      </c>
      <c r="AC191" s="177">
        <v>2.1</v>
      </c>
      <c r="AD191" s="177" t="s">
        <v>1478</v>
      </c>
      <c r="AE191" s="177" t="s">
        <v>1479</v>
      </c>
      <c r="AF191" s="177">
        <v>1</v>
      </c>
      <c r="AG191" s="177">
        <v>17153</v>
      </c>
      <c r="AH191" s="177" t="s">
        <v>121</v>
      </c>
      <c r="AI191" s="177" t="b">
        <v>1</v>
      </c>
      <c r="AJ191" s="180">
        <v>44740</v>
      </c>
      <c r="AK191" s="177" t="s">
        <v>122</v>
      </c>
      <c r="AL191" s="177">
        <v>2017</v>
      </c>
      <c r="AM191" s="177" t="s">
        <v>109</v>
      </c>
      <c r="AN191" s="177" t="b">
        <v>0</v>
      </c>
      <c r="AO191" s="177" t="s">
        <v>109</v>
      </c>
      <c r="AP191" s="177" t="s">
        <v>109</v>
      </c>
      <c r="AQ191" s="177" t="s">
        <v>118</v>
      </c>
      <c r="AR191" s="177" t="b">
        <v>0</v>
      </c>
      <c r="AS191" s="177" t="s">
        <v>123</v>
      </c>
      <c r="AT191" s="180" t="s">
        <v>123</v>
      </c>
      <c r="AU191" s="177" t="s">
        <v>124</v>
      </c>
      <c r="AV191" s="177" t="s">
        <v>109</v>
      </c>
      <c r="AW191" s="177" t="s">
        <v>118</v>
      </c>
      <c r="AX191" s="177" t="s">
        <v>118</v>
      </c>
      <c r="AY191" s="177" t="s">
        <v>135</v>
      </c>
      <c r="AZ191" s="177" t="s">
        <v>109</v>
      </c>
      <c r="BA191" s="177" t="s">
        <v>125</v>
      </c>
      <c r="BB191" s="177" t="s">
        <v>109</v>
      </c>
      <c r="BC191" s="177" t="s">
        <v>126</v>
      </c>
      <c r="BD191" s="177" t="s">
        <v>109</v>
      </c>
      <c r="BE191" s="180" t="s">
        <v>1480</v>
      </c>
      <c r="BF191" s="180" t="s">
        <v>1481</v>
      </c>
      <c r="BG191" s="180" t="s">
        <v>1482</v>
      </c>
      <c r="BH191" s="177" t="s">
        <v>109</v>
      </c>
      <c r="BI191" s="177" t="s">
        <v>109</v>
      </c>
      <c r="BJ191" s="177" t="b">
        <v>0</v>
      </c>
      <c r="BK191" s="233">
        <v>2020.0000199999999</v>
      </c>
      <c r="BL191" s="234" t="s">
        <v>128</v>
      </c>
      <c r="BM191" s="254">
        <v>16778.223999999998</v>
      </c>
      <c r="BN191" s="254">
        <v>5188.5310178999998</v>
      </c>
      <c r="BO191" s="254">
        <v>2428.5638343000001</v>
      </c>
      <c r="BP191" s="254">
        <v>3.1856217999999998</v>
      </c>
      <c r="BQ191" s="254">
        <v>0</v>
      </c>
      <c r="BR191" s="254">
        <v>179.34529000000001</v>
      </c>
      <c r="BS191" s="254">
        <v>0</v>
      </c>
      <c r="BT191" s="254">
        <v>0</v>
      </c>
      <c r="BU191" s="254">
        <v>0</v>
      </c>
      <c r="BV191" s="254">
        <v>0</v>
      </c>
      <c r="BW191" s="254">
        <v>0</v>
      </c>
      <c r="BX191" s="254">
        <v>0</v>
      </c>
      <c r="BY191" s="255">
        <v>0</v>
      </c>
      <c r="BZ191" s="236" t="s">
        <v>109</v>
      </c>
      <c r="CA191" s="236" t="s">
        <v>109</v>
      </c>
      <c r="CB191" s="256" t="s">
        <v>683</v>
      </c>
      <c r="CC191" s="254">
        <v>96.025268299999993</v>
      </c>
      <c r="CD191" s="254">
        <v>16499.667920399999</v>
      </c>
      <c r="CE191" s="254">
        <v>3.1856217999999998</v>
      </c>
      <c r="CF191" s="254">
        <v>0</v>
      </c>
      <c r="CG191" s="254">
        <v>179.34529000000001</v>
      </c>
      <c r="CH191" s="254">
        <v>0</v>
      </c>
      <c r="CI191" s="254">
        <v>0</v>
      </c>
      <c r="CJ191" s="237">
        <v>0</v>
      </c>
      <c r="CK191" s="177" t="s">
        <v>128</v>
      </c>
      <c r="CL191" s="177" t="s">
        <v>128</v>
      </c>
      <c r="CM191" s="155" t="s">
        <v>109</v>
      </c>
      <c r="CN191" s="229">
        <v>0</v>
      </c>
      <c r="CO191" s="229">
        <v>1</v>
      </c>
      <c r="CP191" t="s">
        <v>155</v>
      </c>
      <c r="CR191" s="248"/>
    </row>
    <row r="192" spans="1:96" ht="14.4" x14ac:dyDescent="0.3">
      <c r="A192">
        <v>189</v>
      </c>
      <c r="B192" s="173" t="s">
        <v>1483</v>
      </c>
      <c r="C192" s="259"/>
      <c r="D192" s="260"/>
      <c r="E192" t="s">
        <v>483</v>
      </c>
      <c r="F192" t="s">
        <v>1484</v>
      </c>
      <c r="G192" s="177" t="s">
        <v>811</v>
      </c>
      <c r="H192" s="177" t="s">
        <v>146</v>
      </c>
      <c r="I192" s="177" t="s">
        <v>109</v>
      </c>
      <c r="J192" s="177" t="s">
        <v>109</v>
      </c>
      <c r="K192" s="177" t="s">
        <v>114</v>
      </c>
      <c r="L192" s="177" t="s">
        <v>1453</v>
      </c>
      <c r="M192" s="177" t="s">
        <v>109</v>
      </c>
      <c r="N192" s="177" t="s">
        <v>109</v>
      </c>
      <c r="O192" s="180">
        <v>45669</v>
      </c>
      <c r="P192" s="177" t="s">
        <v>147</v>
      </c>
      <c r="Q192" s="177" t="s">
        <v>109</v>
      </c>
      <c r="R192" s="177" t="s">
        <v>109</v>
      </c>
      <c r="S192" s="177" t="s">
        <v>109</v>
      </c>
      <c r="T192" s="177" t="s">
        <v>116</v>
      </c>
      <c r="U192" s="177" t="s">
        <v>117</v>
      </c>
      <c r="V192" s="177" t="b">
        <v>0</v>
      </c>
      <c r="W192" s="177" t="s">
        <v>109</v>
      </c>
      <c r="X192" s="261"/>
      <c r="Y192" s="177">
        <v>0.15745500000000001</v>
      </c>
      <c r="Z192" s="177" t="s">
        <v>118</v>
      </c>
      <c r="AA192" s="177">
        <v>69</v>
      </c>
      <c r="AB192" s="177" t="s">
        <v>109</v>
      </c>
      <c r="AC192" s="177">
        <v>4.0999999999999996</v>
      </c>
      <c r="AD192" s="177" t="s">
        <v>1485</v>
      </c>
      <c r="AE192" s="177" t="s">
        <v>1486</v>
      </c>
      <c r="AF192" s="177">
        <v>1</v>
      </c>
      <c r="AG192" s="177">
        <v>17157</v>
      </c>
      <c r="AH192" s="177" t="s">
        <v>121</v>
      </c>
      <c r="AI192" s="177" t="b">
        <v>1</v>
      </c>
      <c r="AJ192" s="180">
        <v>45177</v>
      </c>
      <c r="AK192" s="177" t="s">
        <v>122</v>
      </c>
      <c r="AL192" s="177">
        <v>2018</v>
      </c>
      <c r="AM192" s="177" t="s">
        <v>109</v>
      </c>
      <c r="AN192" s="177" t="b">
        <v>0</v>
      </c>
      <c r="AO192" s="177" t="s">
        <v>109</v>
      </c>
      <c r="AP192" s="177" t="s">
        <v>109</v>
      </c>
      <c r="AQ192" s="177" t="s">
        <v>118</v>
      </c>
      <c r="AR192" s="177" t="b">
        <v>0</v>
      </c>
      <c r="AS192" s="177" t="s">
        <v>123</v>
      </c>
      <c r="AT192" s="180" t="s">
        <v>123</v>
      </c>
      <c r="AU192" s="177" t="s">
        <v>124</v>
      </c>
      <c r="AV192" s="177" t="s">
        <v>109</v>
      </c>
      <c r="AW192" s="177" t="s">
        <v>118</v>
      </c>
      <c r="AX192" s="177" t="s">
        <v>118</v>
      </c>
      <c r="AY192" s="177" t="s">
        <v>135</v>
      </c>
      <c r="AZ192" s="177" t="s">
        <v>109</v>
      </c>
      <c r="BA192" s="177" t="s">
        <v>125</v>
      </c>
      <c r="BB192" s="177" t="s">
        <v>109</v>
      </c>
      <c r="BC192" s="177" t="s">
        <v>126</v>
      </c>
      <c r="BD192" s="177" t="s">
        <v>109</v>
      </c>
      <c r="BE192" s="180" t="s">
        <v>1456</v>
      </c>
      <c r="BF192" s="180" t="s">
        <v>1482</v>
      </c>
      <c r="BG192" s="180" t="s">
        <v>1482</v>
      </c>
      <c r="BH192" s="177" t="s">
        <v>109</v>
      </c>
      <c r="BI192" s="177" t="s">
        <v>109</v>
      </c>
      <c r="BJ192" s="177" t="b">
        <v>0</v>
      </c>
      <c r="BK192" s="233">
        <v>1947.8320000000001</v>
      </c>
      <c r="BL192" s="234" t="s">
        <v>128</v>
      </c>
      <c r="BM192" s="233">
        <v>2142.2622299999998</v>
      </c>
      <c r="BN192" s="233">
        <v>1179.41491</v>
      </c>
      <c r="BO192" s="233">
        <v>116.36638000000001</v>
      </c>
      <c r="BP192" s="233">
        <v>71.284829999999999</v>
      </c>
      <c r="BQ192" s="233">
        <v>168.09965</v>
      </c>
      <c r="BR192" s="233">
        <v>0</v>
      </c>
      <c r="BS192" s="233">
        <v>0</v>
      </c>
      <c r="BT192" s="233">
        <v>0</v>
      </c>
      <c r="BU192" s="233">
        <v>0</v>
      </c>
      <c r="BV192" s="233">
        <v>0</v>
      </c>
      <c r="BW192" s="233">
        <v>0</v>
      </c>
      <c r="BX192" s="233">
        <v>0</v>
      </c>
      <c r="BY192" s="234">
        <v>0</v>
      </c>
      <c r="BZ192" s="236" t="s">
        <v>109</v>
      </c>
      <c r="CA192" s="236" t="s">
        <v>109</v>
      </c>
      <c r="CB192" s="236" t="s">
        <v>807</v>
      </c>
      <c r="CC192" s="233">
        <v>1786.5113699999999</v>
      </c>
      <c r="CD192" s="233">
        <v>116.36638000000001</v>
      </c>
      <c r="CE192" s="233">
        <v>71.284829999999999</v>
      </c>
      <c r="CF192" s="233">
        <v>168.09965</v>
      </c>
      <c r="CG192" s="233">
        <v>0</v>
      </c>
      <c r="CH192" s="233">
        <v>0</v>
      </c>
      <c r="CI192" s="233">
        <v>0</v>
      </c>
      <c r="CJ192" s="237">
        <v>0</v>
      </c>
      <c r="CK192" s="177" t="s">
        <v>128</v>
      </c>
      <c r="CL192" s="177" t="s">
        <v>128</v>
      </c>
      <c r="CM192" s="155" t="s">
        <v>109</v>
      </c>
      <c r="CN192" s="229">
        <v>0</v>
      </c>
      <c r="CO192" s="229">
        <v>1</v>
      </c>
      <c r="CP192" t="s">
        <v>155</v>
      </c>
      <c r="CR192" s="248"/>
    </row>
    <row r="193" spans="1:96" ht="14.4" x14ac:dyDescent="0.3">
      <c r="A193">
        <v>190</v>
      </c>
      <c r="B193" s="173" t="s">
        <v>1487</v>
      </c>
      <c r="C193" s="259"/>
      <c r="D193" s="260"/>
      <c r="E193" t="s">
        <v>1253</v>
      </c>
      <c r="F193" t="s">
        <v>1488</v>
      </c>
      <c r="G193" s="177" t="s">
        <v>111</v>
      </c>
      <c r="H193" s="177" t="s">
        <v>113</v>
      </c>
      <c r="I193" s="177" t="s">
        <v>109</v>
      </c>
      <c r="J193" s="177" t="s">
        <v>109</v>
      </c>
      <c r="K193" s="177" t="s">
        <v>114</v>
      </c>
      <c r="L193" s="177" t="s">
        <v>251</v>
      </c>
      <c r="M193" s="177" t="s">
        <v>109</v>
      </c>
      <c r="N193" s="177" t="s">
        <v>109</v>
      </c>
      <c r="O193" s="180">
        <v>45756</v>
      </c>
      <c r="P193" s="177" t="s">
        <v>1489</v>
      </c>
      <c r="Q193" s="177" t="s">
        <v>109</v>
      </c>
      <c r="R193" s="177" t="s">
        <v>725</v>
      </c>
      <c r="S193" s="177" t="s">
        <v>109</v>
      </c>
      <c r="T193" s="177" t="s">
        <v>116</v>
      </c>
      <c r="U193" s="177" t="s">
        <v>117</v>
      </c>
      <c r="V193" s="177" t="b">
        <v>1</v>
      </c>
      <c r="W193" s="177" t="s">
        <v>109</v>
      </c>
      <c r="X193" s="261"/>
      <c r="Y193" s="177" t="s">
        <v>118</v>
      </c>
      <c r="Z193" s="176">
        <v>1.591493</v>
      </c>
      <c r="AA193" s="177">
        <v>69</v>
      </c>
      <c r="AB193" s="177" t="s">
        <v>1477</v>
      </c>
      <c r="AC193" s="177">
        <v>4.0999999999999996</v>
      </c>
      <c r="AD193" s="177" t="s">
        <v>1490</v>
      </c>
      <c r="AE193" s="177" t="s">
        <v>1491</v>
      </c>
      <c r="AF193" s="177">
        <v>1</v>
      </c>
      <c r="AG193" s="177">
        <v>17160</v>
      </c>
      <c r="AH193" s="177" t="s">
        <v>121</v>
      </c>
      <c r="AI193" s="177" t="b">
        <v>1</v>
      </c>
      <c r="AJ193" s="180">
        <v>44837</v>
      </c>
      <c r="AK193" s="177" t="s">
        <v>122</v>
      </c>
      <c r="AL193" s="177">
        <v>2018</v>
      </c>
      <c r="AM193" s="177" t="s">
        <v>109</v>
      </c>
      <c r="AN193" s="177" t="b">
        <v>0</v>
      </c>
      <c r="AO193" s="177" t="s">
        <v>109</v>
      </c>
      <c r="AP193" s="177" t="s">
        <v>109</v>
      </c>
      <c r="AQ193" s="177" t="s">
        <v>118</v>
      </c>
      <c r="AR193" s="177" t="b">
        <v>0</v>
      </c>
      <c r="AS193" s="177" t="s">
        <v>123</v>
      </c>
      <c r="AT193" s="180" t="s">
        <v>123</v>
      </c>
      <c r="AU193" s="177" t="s">
        <v>124</v>
      </c>
      <c r="AV193" s="177" t="s">
        <v>109</v>
      </c>
      <c r="AW193" s="177" t="s">
        <v>118</v>
      </c>
      <c r="AX193" s="177" t="s">
        <v>118</v>
      </c>
      <c r="AY193" s="177" t="s">
        <v>135</v>
      </c>
      <c r="AZ193" s="177" t="s">
        <v>109</v>
      </c>
      <c r="BA193" s="177" t="s">
        <v>125</v>
      </c>
      <c r="BB193" s="177" t="s">
        <v>109</v>
      </c>
      <c r="BC193" s="177" t="s">
        <v>980</v>
      </c>
      <c r="BD193" s="177" t="s">
        <v>109</v>
      </c>
      <c r="BE193" s="180" t="s">
        <v>109</v>
      </c>
      <c r="BF193" s="180" t="s">
        <v>1492</v>
      </c>
      <c r="BG193" s="180">
        <v>45746</v>
      </c>
      <c r="BH193" s="177" t="s">
        <v>109</v>
      </c>
      <c r="BI193" s="177" t="s">
        <v>109</v>
      </c>
      <c r="BJ193" s="177" t="b">
        <v>1</v>
      </c>
      <c r="BK193" s="233">
        <v>800</v>
      </c>
      <c r="BL193" s="234" t="s">
        <v>128</v>
      </c>
      <c r="BM193" s="233">
        <v>398.210398801</v>
      </c>
      <c r="BN193" s="233">
        <v>18.237187200000001</v>
      </c>
      <c r="BO193" s="233">
        <v>12.327143400000001</v>
      </c>
      <c r="BP193" s="233">
        <v>7.0906364000000002</v>
      </c>
      <c r="BQ193" s="233">
        <v>9.2735154000000009</v>
      </c>
      <c r="BR193" s="233">
        <v>1.477598</v>
      </c>
      <c r="BS193" s="233">
        <v>-188.78674000000001</v>
      </c>
      <c r="BT193" s="233">
        <v>0</v>
      </c>
      <c r="BU193" s="233">
        <v>0</v>
      </c>
      <c r="BV193" s="233">
        <v>0</v>
      </c>
      <c r="BW193" s="233">
        <v>0</v>
      </c>
      <c r="BX193" s="233">
        <v>0</v>
      </c>
      <c r="BY193" s="234">
        <v>0</v>
      </c>
      <c r="BZ193" s="236" t="s">
        <v>109</v>
      </c>
      <c r="CA193" s="236" t="s">
        <v>109</v>
      </c>
      <c r="CB193" s="236">
        <v>2025</v>
      </c>
      <c r="CC193" s="233">
        <v>0</v>
      </c>
      <c r="CD193" s="233">
        <v>0</v>
      </c>
      <c r="CE193" s="233">
        <v>0</v>
      </c>
      <c r="CF193" s="233">
        <v>0</v>
      </c>
      <c r="CG193" s="233">
        <v>0</v>
      </c>
      <c r="CH193" s="233">
        <v>398.21039889999997</v>
      </c>
      <c r="CI193" s="233">
        <v>0</v>
      </c>
      <c r="CJ193" s="237">
        <v>0</v>
      </c>
      <c r="CK193" s="177" t="s">
        <v>128</v>
      </c>
      <c r="CL193" s="177">
        <v>1.8</v>
      </c>
      <c r="CM193" s="155" t="s">
        <v>109</v>
      </c>
      <c r="CN193" s="229">
        <v>0</v>
      </c>
      <c r="CO193" s="229">
        <v>1</v>
      </c>
      <c r="CP193" t="s">
        <v>155</v>
      </c>
      <c r="CR193" s="248"/>
    </row>
    <row r="194" spans="1:96" ht="14.4" x14ac:dyDescent="0.3">
      <c r="A194">
        <v>191</v>
      </c>
      <c r="B194" s="173" t="s">
        <v>1494</v>
      </c>
      <c r="C194" s="259"/>
      <c r="D194" s="260"/>
      <c r="E194" t="s">
        <v>410</v>
      </c>
      <c r="F194" t="s">
        <v>1495</v>
      </c>
      <c r="G194" s="177" t="s">
        <v>186</v>
      </c>
      <c r="H194" s="177" t="s">
        <v>113</v>
      </c>
      <c r="I194" s="177" t="s">
        <v>109</v>
      </c>
      <c r="J194" s="177" t="s">
        <v>109</v>
      </c>
      <c r="K194" s="177" t="s">
        <v>234</v>
      </c>
      <c r="L194" s="177" t="s">
        <v>251</v>
      </c>
      <c r="M194" s="177" t="s">
        <v>109</v>
      </c>
      <c r="N194" s="177" t="s">
        <v>109</v>
      </c>
      <c r="O194" s="180">
        <v>45696</v>
      </c>
      <c r="P194" s="177" t="s">
        <v>109</v>
      </c>
      <c r="Q194" s="177" t="s">
        <v>109</v>
      </c>
      <c r="R194" s="177" t="s">
        <v>109</v>
      </c>
      <c r="S194" s="177" t="s">
        <v>109</v>
      </c>
      <c r="T194" s="177" t="s">
        <v>109</v>
      </c>
      <c r="U194" s="177" t="s">
        <v>117</v>
      </c>
      <c r="V194" s="177" t="b">
        <v>0</v>
      </c>
      <c r="W194" s="177" t="s">
        <v>109</v>
      </c>
      <c r="X194" s="261"/>
      <c r="Y194" s="177" t="s">
        <v>109</v>
      </c>
      <c r="Z194" s="177" t="s">
        <v>109</v>
      </c>
      <c r="AA194" s="177" t="s">
        <v>1240</v>
      </c>
      <c r="AB194" s="177" t="s">
        <v>109</v>
      </c>
      <c r="AC194" s="177">
        <v>4.0999999999999996</v>
      </c>
      <c r="AD194" s="177" t="s">
        <v>1496</v>
      </c>
      <c r="AE194" s="177" t="s">
        <v>1497</v>
      </c>
      <c r="AF194" s="177">
        <v>1</v>
      </c>
      <c r="AG194" s="177">
        <v>18126</v>
      </c>
      <c r="AH194" s="177" t="s">
        <v>121</v>
      </c>
      <c r="AI194" s="177" t="b">
        <v>1</v>
      </c>
      <c r="AJ194" s="180">
        <v>43152</v>
      </c>
      <c r="AK194" s="177" t="s">
        <v>122</v>
      </c>
      <c r="AL194" s="177">
        <v>2024</v>
      </c>
      <c r="AM194" s="177" t="s">
        <v>109</v>
      </c>
      <c r="AN194" s="177" t="b">
        <v>0</v>
      </c>
      <c r="AO194" s="177" t="s">
        <v>109</v>
      </c>
      <c r="AP194" s="177" t="s">
        <v>109</v>
      </c>
      <c r="AQ194" s="177" t="s">
        <v>109</v>
      </c>
      <c r="AR194" s="177" t="b">
        <v>0</v>
      </c>
      <c r="AS194" s="177" t="s">
        <v>123</v>
      </c>
      <c r="AT194" s="180" t="s">
        <v>118</v>
      </c>
      <c r="AU194" s="177" t="s">
        <v>109</v>
      </c>
      <c r="AV194" s="177" t="s">
        <v>109</v>
      </c>
      <c r="AW194" s="177" t="s">
        <v>226</v>
      </c>
      <c r="AX194" s="177" t="s">
        <v>118</v>
      </c>
      <c r="AY194" s="177" t="s">
        <v>135</v>
      </c>
      <c r="AZ194" s="177" t="s">
        <v>109</v>
      </c>
      <c r="BA194" s="177" t="s">
        <v>125</v>
      </c>
      <c r="BB194" s="177" t="s">
        <v>109</v>
      </c>
      <c r="BC194" s="177" t="s">
        <v>296</v>
      </c>
      <c r="BD194" s="177" t="s">
        <v>109</v>
      </c>
      <c r="BE194" s="180" t="s">
        <v>1498</v>
      </c>
      <c r="BF194" s="180" t="s">
        <v>1068</v>
      </c>
      <c r="BG194" s="180" t="s">
        <v>1499</v>
      </c>
      <c r="BH194" s="177" t="s">
        <v>698</v>
      </c>
      <c r="BI194" s="177" t="s">
        <v>109</v>
      </c>
      <c r="BJ194" s="177" t="b">
        <v>1</v>
      </c>
      <c r="BK194" s="233">
        <v>6808.1790000000001</v>
      </c>
      <c r="BL194" s="234" t="s">
        <v>128</v>
      </c>
      <c r="BM194" s="254">
        <v>10108.132</v>
      </c>
      <c r="BN194" s="254">
        <v>41.753410000000002</v>
      </c>
      <c r="BO194" s="254">
        <v>157.15442000000002</v>
      </c>
      <c r="BP194" s="254">
        <v>259.03566000000001</v>
      </c>
      <c r="BQ194" s="254">
        <v>82.094920000000002</v>
      </c>
      <c r="BR194" s="254">
        <v>5.7560500000000028</v>
      </c>
      <c r="BS194" s="254">
        <v>49.247979999999998</v>
      </c>
      <c r="BT194" s="254">
        <v>1079.6638906000001</v>
      </c>
      <c r="BU194" s="254">
        <v>978.00949939999998</v>
      </c>
      <c r="BV194" s="254">
        <v>7119.1866826999994</v>
      </c>
      <c r="BW194" s="254">
        <v>0</v>
      </c>
      <c r="BX194" s="254">
        <v>0</v>
      </c>
      <c r="BY194" s="255">
        <v>0</v>
      </c>
      <c r="BZ194" s="236" t="s">
        <v>109</v>
      </c>
      <c r="CA194" s="236" t="s">
        <v>109</v>
      </c>
      <c r="CB194" s="233" t="s">
        <v>196</v>
      </c>
      <c r="CC194" s="254">
        <v>0</v>
      </c>
      <c r="CD194" s="254">
        <v>0</v>
      </c>
      <c r="CE194" s="254">
        <v>0</v>
      </c>
      <c r="CF194" s="254">
        <v>0</v>
      </c>
      <c r="CG194" s="254">
        <v>882.02357999999992</v>
      </c>
      <c r="CH194" s="254">
        <v>49.247979999999998</v>
      </c>
      <c r="CI194" s="254">
        <v>1079.6638906000001</v>
      </c>
      <c r="CJ194" s="237">
        <v>0</v>
      </c>
      <c r="CK194" s="177" t="s">
        <v>128</v>
      </c>
      <c r="CL194" s="177">
        <v>4.2</v>
      </c>
      <c r="CM194" s="155" t="s">
        <v>109</v>
      </c>
      <c r="CN194" s="229">
        <v>0</v>
      </c>
      <c r="CO194" s="229">
        <v>1</v>
      </c>
      <c r="CP194" t="s">
        <v>1500</v>
      </c>
      <c r="CR194" s="248"/>
    </row>
    <row r="195" spans="1:96" ht="14.4" x14ac:dyDescent="0.3">
      <c r="A195">
        <v>192</v>
      </c>
      <c r="B195" s="173" t="s">
        <v>1501</v>
      </c>
      <c r="C195" s="259"/>
      <c r="D195" s="260"/>
      <c r="E195" t="s">
        <v>1502</v>
      </c>
      <c r="F195" t="s">
        <v>1503</v>
      </c>
      <c r="G195" s="177" t="s">
        <v>111</v>
      </c>
      <c r="H195" s="177" t="s">
        <v>146</v>
      </c>
      <c r="I195" s="177" t="s">
        <v>113</v>
      </c>
      <c r="J195" s="177" t="s">
        <v>109</v>
      </c>
      <c r="K195" s="177" t="s">
        <v>114</v>
      </c>
      <c r="L195" s="177" t="s">
        <v>115</v>
      </c>
      <c r="M195" s="177" t="s">
        <v>109</v>
      </c>
      <c r="N195" s="177" t="s">
        <v>109</v>
      </c>
      <c r="O195" s="180">
        <v>45768</v>
      </c>
      <c r="P195" s="177" t="s">
        <v>1504</v>
      </c>
      <c r="Q195" s="177" t="s">
        <v>109</v>
      </c>
      <c r="R195" s="177" t="s">
        <v>109</v>
      </c>
      <c r="S195" s="177" t="s">
        <v>109</v>
      </c>
      <c r="T195" s="177" t="s">
        <v>116</v>
      </c>
      <c r="U195" s="177" t="s">
        <v>117</v>
      </c>
      <c r="V195" s="177" t="b">
        <v>0</v>
      </c>
      <c r="W195" s="177" t="s">
        <v>109</v>
      </c>
      <c r="X195" s="261"/>
      <c r="Y195" s="177" t="s">
        <v>118</v>
      </c>
      <c r="Z195" s="177">
        <v>4.6631099999999996</v>
      </c>
      <c r="AA195" s="177">
        <v>230</v>
      </c>
      <c r="AB195" s="177" t="s">
        <v>201</v>
      </c>
      <c r="AC195" s="177">
        <v>4.0999999999999996</v>
      </c>
      <c r="AD195" s="177" t="s">
        <v>1505</v>
      </c>
      <c r="AE195" s="177" t="s">
        <v>1506</v>
      </c>
      <c r="AF195" s="177">
        <v>1</v>
      </c>
      <c r="AG195" s="177">
        <v>18127</v>
      </c>
      <c r="AH195" s="177" t="s">
        <v>121</v>
      </c>
      <c r="AI195" s="177" t="b">
        <v>1</v>
      </c>
      <c r="AJ195" s="180">
        <v>45064</v>
      </c>
      <c r="AK195" s="177" t="s">
        <v>122</v>
      </c>
      <c r="AL195" s="177">
        <v>2018</v>
      </c>
      <c r="AM195" s="177" t="s">
        <v>109</v>
      </c>
      <c r="AN195" s="177" t="b">
        <v>0</v>
      </c>
      <c r="AO195" s="177" t="s">
        <v>109</v>
      </c>
      <c r="AP195" s="177" t="s">
        <v>109</v>
      </c>
      <c r="AQ195" s="177" t="s">
        <v>118</v>
      </c>
      <c r="AR195" s="177" t="b">
        <v>0</v>
      </c>
      <c r="AS195" s="177" t="s">
        <v>109</v>
      </c>
      <c r="AT195" s="180" t="s">
        <v>118</v>
      </c>
      <c r="AU195" s="177" t="s">
        <v>124</v>
      </c>
      <c r="AV195" s="177" t="s">
        <v>109</v>
      </c>
      <c r="AW195" s="177" t="s">
        <v>109</v>
      </c>
      <c r="AX195" s="177" t="s">
        <v>118</v>
      </c>
      <c r="AY195" s="177" t="s">
        <v>123</v>
      </c>
      <c r="AZ195" s="177" t="s">
        <v>109</v>
      </c>
      <c r="BA195" s="177" t="s">
        <v>125</v>
      </c>
      <c r="BB195" s="177" t="s">
        <v>109</v>
      </c>
      <c r="BC195" s="177" t="s">
        <v>296</v>
      </c>
      <c r="BD195" s="177" t="s">
        <v>109</v>
      </c>
      <c r="BE195" s="180" t="s">
        <v>123</v>
      </c>
      <c r="BF195" s="180" t="s">
        <v>137</v>
      </c>
      <c r="BG195" s="180" t="s">
        <v>1507</v>
      </c>
      <c r="BH195" s="177" t="s">
        <v>326</v>
      </c>
      <c r="BI195" s="177" t="s">
        <v>109</v>
      </c>
      <c r="BJ195" s="177" t="b">
        <v>0</v>
      </c>
      <c r="BK195" s="233">
        <v>982</v>
      </c>
      <c r="BL195" s="234" t="s">
        <v>128</v>
      </c>
      <c r="BM195" s="233">
        <v>194636.93613894499</v>
      </c>
      <c r="BN195" s="233">
        <v>1.14524</v>
      </c>
      <c r="BO195" s="233">
        <v>5.8670299999999997</v>
      </c>
      <c r="BP195" s="233">
        <v>14.055389999999999</v>
      </c>
      <c r="BQ195" s="233">
        <v>45.366399999999999</v>
      </c>
      <c r="BR195" s="233">
        <v>87.018010000000004</v>
      </c>
      <c r="BS195" s="233">
        <v>103.0903</v>
      </c>
      <c r="BT195" s="233">
        <v>460.72518580000002</v>
      </c>
      <c r="BU195" s="233">
        <v>26769.824509400001</v>
      </c>
      <c r="BV195" s="233">
        <v>26742.433813299998</v>
      </c>
      <c r="BW195" s="233">
        <v>41722.362843399998</v>
      </c>
      <c r="BX195" s="233">
        <v>45217.733446400001</v>
      </c>
      <c r="BY195" s="234">
        <v>53723.85634064499</v>
      </c>
      <c r="BZ195" s="236" t="s">
        <v>109</v>
      </c>
      <c r="CA195" s="236" t="s">
        <v>109</v>
      </c>
      <c r="CB195" s="236" t="s">
        <v>109</v>
      </c>
      <c r="CC195" s="233">
        <v>0</v>
      </c>
      <c r="CD195" s="233">
        <v>0</v>
      </c>
      <c r="CE195" s="233">
        <v>0</v>
      </c>
      <c r="CF195" s="233">
        <v>0</v>
      </c>
      <c r="CG195" s="233">
        <v>0</v>
      </c>
      <c r="CH195" s="233">
        <v>0</v>
      </c>
      <c r="CI195" s="233">
        <v>0</v>
      </c>
      <c r="CJ195" s="237">
        <v>0</v>
      </c>
      <c r="CK195" s="177" t="s">
        <v>128</v>
      </c>
      <c r="CL195" s="177">
        <v>3.6</v>
      </c>
      <c r="CM195" s="155" t="s">
        <v>109</v>
      </c>
      <c r="CN195" s="229">
        <v>1</v>
      </c>
      <c r="CO195" s="229">
        <v>0</v>
      </c>
      <c r="CP195" t="s">
        <v>1006</v>
      </c>
      <c r="CR195" s="248"/>
    </row>
    <row r="196" spans="1:96" ht="14.4" x14ac:dyDescent="0.3">
      <c r="A196">
        <v>193</v>
      </c>
      <c r="B196" s="173" t="s">
        <v>1508</v>
      </c>
      <c r="C196" s="259"/>
      <c r="D196" s="260"/>
      <c r="E196" t="s">
        <v>329</v>
      </c>
      <c r="F196" t="s">
        <v>1509</v>
      </c>
      <c r="G196" s="177" t="s">
        <v>111</v>
      </c>
      <c r="H196" s="177" t="s">
        <v>146</v>
      </c>
      <c r="I196" s="177" t="s">
        <v>113</v>
      </c>
      <c r="J196" s="177" t="s">
        <v>109</v>
      </c>
      <c r="K196" s="177" t="s">
        <v>114</v>
      </c>
      <c r="L196" s="177" t="s">
        <v>115</v>
      </c>
      <c r="M196" s="177" t="s">
        <v>109</v>
      </c>
      <c r="N196" s="177" t="s">
        <v>109</v>
      </c>
      <c r="O196" s="180">
        <v>45777</v>
      </c>
      <c r="P196" s="177" t="s">
        <v>729</v>
      </c>
      <c r="Q196" s="177" t="s">
        <v>109</v>
      </c>
      <c r="R196" s="177" t="s">
        <v>109</v>
      </c>
      <c r="S196" s="177" t="s">
        <v>109</v>
      </c>
      <c r="T196" s="177" t="s">
        <v>116</v>
      </c>
      <c r="U196" s="177" t="s">
        <v>117</v>
      </c>
      <c r="V196" s="177" t="b">
        <v>0</v>
      </c>
      <c r="W196" s="177" t="s">
        <v>487</v>
      </c>
      <c r="X196" s="261"/>
      <c r="Y196" s="177" t="s">
        <v>118</v>
      </c>
      <c r="Z196" s="177">
        <v>8.9966640000000009</v>
      </c>
      <c r="AA196" s="177" t="s">
        <v>452</v>
      </c>
      <c r="AB196" s="177" t="s">
        <v>373</v>
      </c>
      <c r="AC196" s="177">
        <v>4.0999999999999996</v>
      </c>
      <c r="AD196" s="177" t="s">
        <v>1510</v>
      </c>
      <c r="AE196" s="177" t="s">
        <v>1511</v>
      </c>
      <c r="AF196" s="177">
        <v>1</v>
      </c>
      <c r="AG196" s="177">
        <v>18128</v>
      </c>
      <c r="AH196" s="177" t="s">
        <v>121</v>
      </c>
      <c r="AI196" s="177" t="b">
        <v>1</v>
      </c>
      <c r="AJ196" s="180">
        <v>43497</v>
      </c>
      <c r="AK196" s="177" t="s">
        <v>122</v>
      </c>
      <c r="AL196" s="177">
        <v>2018</v>
      </c>
      <c r="AM196" s="177" t="s">
        <v>109</v>
      </c>
      <c r="AN196" s="177" t="b">
        <v>0</v>
      </c>
      <c r="AO196" s="177" t="s">
        <v>109</v>
      </c>
      <c r="AP196" s="177" t="s">
        <v>109</v>
      </c>
      <c r="AQ196" s="177" t="s">
        <v>118</v>
      </c>
      <c r="AR196" s="177" t="b">
        <v>0</v>
      </c>
      <c r="AS196" s="177" t="s">
        <v>109</v>
      </c>
      <c r="AT196" s="180" t="s">
        <v>118</v>
      </c>
      <c r="AU196" s="177" t="s">
        <v>124</v>
      </c>
      <c r="AV196" s="177" t="s">
        <v>109</v>
      </c>
      <c r="AW196" s="177" t="s">
        <v>118</v>
      </c>
      <c r="AX196" s="177" t="s">
        <v>118</v>
      </c>
      <c r="AY196" s="177" t="s">
        <v>135</v>
      </c>
      <c r="AZ196" s="177" t="s">
        <v>109</v>
      </c>
      <c r="BA196" s="177" t="s">
        <v>125</v>
      </c>
      <c r="BB196" s="177" t="s">
        <v>109</v>
      </c>
      <c r="BC196" s="177" t="s">
        <v>322</v>
      </c>
      <c r="BD196" s="177" t="s">
        <v>109</v>
      </c>
      <c r="BE196" s="180" t="s">
        <v>1512</v>
      </c>
      <c r="BF196" s="180" t="s">
        <v>1513</v>
      </c>
      <c r="BG196" s="180" t="s">
        <v>1514</v>
      </c>
      <c r="BH196" s="177" t="s">
        <v>138</v>
      </c>
      <c r="BI196" s="177" t="s">
        <v>109</v>
      </c>
      <c r="BJ196" s="177" t="b">
        <v>1</v>
      </c>
      <c r="BK196" s="233">
        <v>97625.009640000004</v>
      </c>
      <c r="BL196" s="234" t="s">
        <v>128</v>
      </c>
      <c r="BM196" s="254">
        <v>141068.701</v>
      </c>
      <c r="BN196" s="254">
        <v>7.7251199999999995</v>
      </c>
      <c r="BO196" s="254">
        <v>821.60716000000002</v>
      </c>
      <c r="BP196" s="254">
        <v>16116.683200400001</v>
      </c>
      <c r="BQ196" s="254">
        <v>27651.0585374</v>
      </c>
      <c r="BR196" s="254">
        <v>39500.866390000003</v>
      </c>
      <c r="BS196" s="254">
        <v>12096.210478000001</v>
      </c>
      <c r="BT196" s="254">
        <v>28340.584065700001</v>
      </c>
      <c r="BU196" s="254">
        <v>16491.379451500001</v>
      </c>
      <c r="BV196" s="254">
        <v>0</v>
      </c>
      <c r="BW196" s="254">
        <v>0</v>
      </c>
      <c r="BX196" s="254">
        <v>0</v>
      </c>
      <c r="BY196" s="255">
        <v>96236.737999999998</v>
      </c>
      <c r="BZ196" s="236" t="s">
        <v>109</v>
      </c>
      <c r="CA196" s="236" t="s">
        <v>109</v>
      </c>
      <c r="CB196" s="256" t="s">
        <v>1515</v>
      </c>
      <c r="CC196" s="254">
        <v>0</v>
      </c>
      <c r="CD196" s="254">
        <v>0</v>
      </c>
      <c r="CE196" s="254">
        <v>0</v>
      </c>
      <c r="CF196" s="254">
        <v>1.92994</v>
      </c>
      <c r="CG196" s="254">
        <v>0</v>
      </c>
      <c r="CH196" s="254">
        <v>0</v>
      </c>
      <c r="CI196" s="254">
        <v>124575.3918914</v>
      </c>
      <c r="CJ196" s="237">
        <v>0</v>
      </c>
      <c r="CK196" s="177" t="s">
        <v>128</v>
      </c>
      <c r="CL196" s="177">
        <v>6.7</v>
      </c>
      <c r="CM196" s="155" t="s">
        <v>109</v>
      </c>
      <c r="CN196" s="229">
        <v>0</v>
      </c>
      <c r="CO196" s="229">
        <v>1</v>
      </c>
      <c r="CP196" t="s">
        <v>1516</v>
      </c>
      <c r="CR196" s="248"/>
    </row>
    <row r="197" spans="1:96" ht="14.4" x14ac:dyDescent="0.3">
      <c r="A197">
        <v>194</v>
      </c>
      <c r="B197" s="173" t="s">
        <v>1517</v>
      </c>
      <c r="C197" s="259"/>
      <c r="D197" s="260"/>
      <c r="E197" t="s">
        <v>483</v>
      </c>
      <c r="F197" t="s">
        <v>1518</v>
      </c>
      <c r="G197" s="177" t="s">
        <v>111</v>
      </c>
      <c r="H197" s="177" t="s">
        <v>113</v>
      </c>
      <c r="I197" s="177" t="s">
        <v>109</v>
      </c>
      <c r="J197" s="177" t="s">
        <v>109</v>
      </c>
      <c r="K197" s="177" t="s">
        <v>114</v>
      </c>
      <c r="L197" s="177" t="s">
        <v>115</v>
      </c>
      <c r="M197" s="177" t="s">
        <v>109</v>
      </c>
      <c r="N197" s="177" t="s">
        <v>109</v>
      </c>
      <c r="O197" s="180">
        <v>45758</v>
      </c>
      <c r="P197" s="177" t="s">
        <v>1519</v>
      </c>
      <c r="Q197" s="177" t="s">
        <v>109</v>
      </c>
      <c r="R197" s="177" t="s">
        <v>342</v>
      </c>
      <c r="S197" s="177" t="s">
        <v>109</v>
      </c>
      <c r="T197" s="177" t="s">
        <v>116</v>
      </c>
      <c r="U197" s="177" t="s">
        <v>117</v>
      </c>
      <c r="V197" s="177" t="b">
        <v>0</v>
      </c>
      <c r="W197" s="177" t="s">
        <v>109</v>
      </c>
      <c r="X197" s="261"/>
      <c r="Y197" s="177" t="s">
        <v>118</v>
      </c>
      <c r="Z197" s="176">
        <v>0.224386</v>
      </c>
      <c r="AA197" s="177">
        <v>69</v>
      </c>
      <c r="AB197" s="177" t="s">
        <v>373</v>
      </c>
      <c r="AC197" s="177">
        <v>4.0999999999999996</v>
      </c>
      <c r="AD197" s="177" t="s">
        <v>1520</v>
      </c>
      <c r="AE197" s="177" t="s">
        <v>1521</v>
      </c>
      <c r="AF197" s="177">
        <v>1</v>
      </c>
      <c r="AG197" s="177">
        <v>18130</v>
      </c>
      <c r="AH197" s="177" t="s">
        <v>121</v>
      </c>
      <c r="AI197" s="177" t="b">
        <v>1</v>
      </c>
      <c r="AJ197" s="180">
        <v>43497</v>
      </c>
      <c r="AK197" s="177" t="s">
        <v>122</v>
      </c>
      <c r="AL197" s="177">
        <v>2018</v>
      </c>
      <c r="AM197" s="177" t="s">
        <v>109</v>
      </c>
      <c r="AN197" s="177" t="b">
        <v>0</v>
      </c>
      <c r="AO197" s="177" t="s">
        <v>109</v>
      </c>
      <c r="AP197" s="177" t="s">
        <v>109</v>
      </c>
      <c r="AQ197" s="177" t="s">
        <v>118</v>
      </c>
      <c r="AR197" s="177" t="b">
        <v>0</v>
      </c>
      <c r="AS197" s="177" t="s">
        <v>123</v>
      </c>
      <c r="AT197" s="180" t="s">
        <v>123</v>
      </c>
      <c r="AU197" s="177" t="s">
        <v>124</v>
      </c>
      <c r="AV197" s="177" t="s">
        <v>109</v>
      </c>
      <c r="AW197" s="177" t="s">
        <v>118</v>
      </c>
      <c r="AX197" s="177" t="s">
        <v>118</v>
      </c>
      <c r="AY197" s="177" t="s">
        <v>135</v>
      </c>
      <c r="AZ197" s="177" t="s">
        <v>109</v>
      </c>
      <c r="BA197" s="177" t="s">
        <v>125</v>
      </c>
      <c r="BB197" s="177" t="s">
        <v>109</v>
      </c>
      <c r="BC197" s="177" t="s">
        <v>126</v>
      </c>
      <c r="BD197" s="177" t="s">
        <v>109</v>
      </c>
      <c r="BE197" s="180" t="s">
        <v>1522</v>
      </c>
      <c r="BF197" s="180" t="s">
        <v>1523</v>
      </c>
      <c r="BG197" s="180" t="s">
        <v>1524</v>
      </c>
      <c r="BH197" s="177" t="s">
        <v>109</v>
      </c>
      <c r="BI197" s="177" t="s">
        <v>109</v>
      </c>
      <c r="BJ197" s="177" t="b">
        <v>0</v>
      </c>
      <c r="BK197" s="233">
        <v>1278.018</v>
      </c>
      <c r="BL197" s="234" t="s">
        <v>128</v>
      </c>
      <c r="BM197" s="233">
        <v>975.14179000000001</v>
      </c>
      <c r="BN197" s="233">
        <v>84.897670000000005</v>
      </c>
      <c r="BO197" s="233">
        <v>55.525590000000001</v>
      </c>
      <c r="BP197" s="233">
        <v>169.80637999999999</v>
      </c>
      <c r="BQ197" s="233">
        <v>402.16953999999998</v>
      </c>
      <c r="BR197" s="233">
        <v>0.25416</v>
      </c>
      <c r="BS197" s="233">
        <v>0</v>
      </c>
      <c r="BT197" s="233">
        <v>0</v>
      </c>
      <c r="BU197" s="233">
        <v>0</v>
      </c>
      <c r="BV197" s="233">
        <v>0</v>
      </c>
      <c r="BW197" s="233">
        <v>0</v>
      </c>
      <c r="BX197" s="233">
        <v>0</v>
      </c>
      <c r="BY197" s="234">
        <v>0</v>
      </c>
      <c r="BZ197" s="236" t="s">
        <v>109</v>
      </c>
      <c r="CA197" s="236" t="s">
        <v>109</v>
      </c>
      <c r="CB197" s="236" t="s">
        <v>174</v>
      </c>
      <c r="CC197" s="233">
        <v>0</v>
      </c>
      <c r="CD197" s="233">
        <v>0</v>
      </c>
      <c r="CE197" s="233">
        <v>0</v>
      </c>
      <c r="CF197" s="233">
        <v>974.88762999999994</v>
      </c>
      <c r="CG197" s="233">
        <v>0.25416</v>
      </c>
      <c r="CH197" s="233">
        <v>0</v>
      </c>
      <c r="CI197" s="233">
        <v>0</v>
      </c>
      <c r="CJ197" s="237">
        <v>0</v>
      </c>
      <c r="CK197" s="177" t="s">
        <v>128</v>
      </c>
      <c r="CL197" s="177" t="s">
        <v>128</v>
      </c>
      <c r="CM197" s="155" t="s">
        <v>109</v>
      </c>
      <c r="CN197" s="229">
        <v>0</v>
      </c>
      <c r="CO197" s="229">
        <v>1</v>
      </c>
      <c r="CP197" t="s">
        <v>155</v>
      </c>
      <c r="CR197" s="248"/>
    </row>
    <row r="198" spans="1:96" ht="14.4" x14ac:dyDescent="0.3">
      <c r="A198">
        <v>195</v>
      </c>
      <c r="B198" s="173" t="s">
        <v>1525</v>
      </c>
      <c r="C198" s="259"/>
      <c r="D198" s="260"/>
      <c r="E198" t="s">
        <v>329</v>
      </c>
      <c r="F198" t="s">
        <v>1526</v>
      </c>
      <c r="G198" s="177" t="s">
        <v>811</v>
      </c>
      <c r="H198" s="177" t="s">
        <v>146</v>
      </c>
      <c r="I198" s="177" t="s">
        <v>109</v>
      </c>
      <c r="J198" s="177" t="s">
        <v>109</v>
      </c>
      <c r="K198" s="177" t="s">
        <v>192</v>
      </c>
      <c r="L198" s="177" t="s">
        <v>207</v>
      </c>
      <c r="M198" s="177" t="s">
        <v>109</v>
      </c>
      <c r="N198" s="177" t="s">
        <v>109</v>
      </c>
      <c r="O198" s="180" t="s">
        <v>109</v>
      </c>
      <c r="P198" s="177" t="s">
        <v>792</v>
      </c>
      <c r="Q198" s="177" t="s">
        <v>109</v>
      </c>
      <c r="R198" s="177" t="s">
        <v>109</v>
      </c>
      <c r="S198" s="177" t="s">
        <v>109</v>
      </c>
      <c r="T198" s="177" t="s">
        <v>116</v>
      </c>
      <c r="U198" s="177" t="s">
        <v>117</v>
      </c>
      <c r="V198" s="177" t="b">
        <v>0</v>
      </c>
      <c r="W198" s="177" t="s">
        <v>109</v>
      </c>
      <c r="X198" s="261"/>
      <c r="Y198" s="177">
        <v>7.6427999999999996E-2</v>
      </c>
      <c r="Z198" s="177" t="s">
        <v>118</v>
      </c>
      <c r="AA198" s="177" t="s">
        <v>1527</v>
      </c>
      <c r="AB198" s="177" t="s">
        <v>109</v>
      </c>
      <c r="AC198" s="177">
        <v>1.3</v>
      </c>
      <c r="AD198" s="177" t="s">
        <v>1528</v>
      </c>
      <c r="AE198" s="177" t="s">
        <v>1529</v>
      </c>
      <c r="AF198" s="177">
        <v>1</v>
      </c>
      <c r="AG198" s="177">
        <v>18136</v>
      </c>
      <c r="AH198" s="177" t="s">
        <v>121</v>
      </c>
      <c r="AI198" s="177" t="b">
        <v>1</v>
      </c>
      <c r="AJ198" s="180">
        <v>45105</v>
      </c>
      <c r="AK198" s="177" t="s">
        <v>122</v>
      </c>
      <c r="AL198" s="177">
        <v>2019</v>
      </c>
      <c r="AM198" s="177" t="s">
        <v>109</v>
      </c>
      <c r="AN198" s="177" t="b">
        <v>0</v>
      </c>
      <c r="AO198" s="177" t="s">
        <v>109</v>
      </c>
      <c r="AP198" s="177" t="s">
        <v>109</v>
      </c>
      <c r="AQ198" s="177" t="s">
        <v>118</v>
      </c>
      <c r="AR198" s="177" t="b">
        <v>0</v>
      </c>
      <c r="AS198" s="177" t="s">
        <v>123</v>
      </c>
      <c r="AT198" s="180" t="s">
        <v>123</v>
      </c>
      <c r="AU198" s="177" t="s">
        <v>124</v>
      </c>
      <c r="AV198" s="177" t="s">
        <v>109</v>
      </c>
      <c r="AW198" s="177" t="s">
        <v>118</v>
      </c>
      <c r="AX198" s="177" t="s">
        <v>118</v>
      </c>
      <c r="AY198" s="177" t="s">
        <v>135</v>
      </c>
      <c r="AZ198" s="177" t="s">
        <v>109</v>
      </c>
      <c r="BA198" s="177" t="s">
        <v>109</v>
      </c>
      <c r="BB198" s="177" t="s">
        <v>109</v>
      </c>
      <c r="BC198" s="177" t="s">
        <v>126</v>
      </c>
      <c r="BD198" s="177" t="s">
        <v>109</v>
      </c>
      <c r="BE198" s="180" t="s">
        <v>1530</v>
      </c>
      <c r="BF198" s="180" t="s">
        <v>1531</v>
      </c>
      <c r="BG198" s="180" t="s">
        <v>1532</v>
      </c>
      <c r="BH198" s="177" t="s">
        <v>109</v>
      </c>
      <c r="BI198" s="177" t="s">
        <v>109</v>
      </c>
      <c r="BJ198" s="250" t="b">
        <v>1</v>
      </c>
      <c r="BK198" s="233">
        <v>2475.8910000000001</v>
      </c>
      <c r="BL198" s="234" t="s">
        <v>128</v>
      </c>
      <c r="BM198" s="254">
        <v>1948.049</v>
      </c>
      <c r="BN198" s="254">
        <v>341.31922000000003</v>
      </c>
      <c r="BO198" s="254">
        <v>972.92683000000011</v>
      </c>
      <c r="BP198" s="254">
        <v>558.27359999999999</v>
      </c>
      <c r="BQ198" s="254">
        <v>1.8694900000000001</v>
      </c>
      <c r="BR198" s="254">
        <v>0</v>
      </c>
      <c r="BS198" s="254">
        <v>0</v>
      </c>
      <c r="BT198" s="254">
        <v>0.2166062</v>
      </c>
      <c r="BU198" s="254">
        <v>0</v>
      </c>
      <c r="BV198" s="254">
        <v>0</v>
      </c>
      <c r="BW198" s="254">
        <v>0</v>
      </c>
      <c r="BX198" s="254">
        <v>0</v>
      </c>
      <c r="BY198" s="255">
        <v>0</v>
      </c>
      <c r="BZ198" s="236" t="s">
        <v>109</v>
      </c>
      <c r="CA198" s="236" t="s">
        <v>109</v>
      </c>
      <c r="CB198" s="256" t="s">
        <v>1533</v>
      </c>
      <c r="CC198" s="254">
        <v>0</v>
      </c>
      <c r="CD198" s="254">
        <v>0</v>
      </c>
      <c r="CE198" s="254">
        <v>1945.9624899999997</v>
      </c>
      <c r="CF198" s="254">
        <v>1.8694900000000001</v>
      </c>
      <c r="CG198" s="254">
        <v>0</v>
      </c>
      <c r="CH198" s="254">
        <v>0</v>
      </c>
      <c r="CI198" s="254">
        <v>0.2166062</v>
      </c>
      <c r="CJ198" s="237">
        <v>0</v>
      </c>
      <c r="CK198" s="177" t="s">
        <v>128</v>
      </c>
      <c r="CL198" s="177" t="s">
        <v>128</v>
      </c>
      <c r="CM198" s="155" t="s">
        <v>109</v>
      </c>
      <c r="CN198" s="229">
        <v>0.13550000000000001</v>
      </c>
      <c r="CO198" s="229">
        <v>0.86450000000000005</v>
      </c>
      <c r="CP198" t="s">
        <v>1534</v>
      </c>
      <c r="CR198" s="248"/>
    </row>
    <row r="199" spans="1:96" ht="14.4" x14ac:dyDescent="0.3">
      <c r="A199">
        <v>196</v>
      </c>
      <c r="B199" s="173" t="s">
        <v>1535</v>
      </c>
      <c r="C199" s="259"/>
      <c r="D199" s="260"/>
      <c r="E199" t="s">
        <v>191</v>
      </c>
      <c r="F199" t="s">
        <v>1536</v>
      </c>
      <c r="G199" s="177" t="s">
        <v>111</v>
      </c>
      <c r="H199" s="177" t="s">
        <v>113</v>
      </c>
      <c r="I199" s="177" t="s">
        <v>109</v>
      </c>
      <c r="J199" s="177" t="s">
        <v>109</v>
      </c>
      <c r="K199" s="177" t="s">
        <v>114</v>
      </c>
      <c r="L199" s="177" t="s">
        <v>1537</v>
      </c>
      <c r="M199" s="177" t="s">
        <v>109</v>
      </c>
      <c r="N199" s="177" t="s">
        <v>109</v>
      </c>
      <c r="O199" s="180">
        <v>45789</v>
      </c>
      <c r="P199" s="177" t="s">
        <v>109</v>
      </c>
      <c r="Q199" s="177" t="s">
        <v>109</v>
      </c>
      <c r="R199" s="177" t="s">
        <v>725</v>
      </c>
      <c r="S199" s="177" t="s">
        <v>109</v>
      </c>
      <c r="T199" s="177" t="s">
        <v>404</v>
      </c>
      <c r="U199" s="177" t="s">
        <v>117</v>
      </c>
      <c r="V199" s="177" t="b">
        <v>0</v>
      </c>
      <c r="W199" s="177" t="s">
        <v>109</v>
      </c>
      <c r="X199" s="261"/>
      <c r="Y199" s="177" t="s">
        <v>118</v>
      </c>
      <c r="Z199" s="176">
        <v>12.37</v>
      </c>
      <c r="AA199" s="177">
        <v>230</v>
      </c>
      <c r="AB199" s="177" t="s">
        <v>1538</v>
      </c>
      <c r="AC199" s="177">
        <v>4.0999999999999996</v>
      </c>
      <c r="AD199" s="177" t="s">
        <v>1539</v>
      </c>
      <c r="AE199" s="177" t="s">
        <v>1540</v>
      </c>
      <c r="AF199" s="177">
        <v>1</v>
      </c>
      <c r="AG199" s="177">
        <v>18139</v>
      </c>
      <c r="AH199" s="177" t="s">
        <v>121</v>
      </c>
      <c r="AI199" s="177" t="b">
        <v>1</v>
      </c>
      <c r="AJ199" s="180">
        <v>45278</v>
      </c>
      <c r="AK199" s="177" t="s">
        <v>122</v>
      </c>
      <c r="AL199" s="177">
        <v>2019</v>
      </c>
      <c r="AM199" s="177" t="s">
        <v>109</v>
      </c>
      <c r="AN199" s="177" t="b">
        <v>0</v>
      </c>
      <c r="AO199" s="177" t="s">
        <v>109</v>
      </c>
      <c r="AP199" s="177" t="s">
        <v>109</v>
      </c>
      <c r="AQ199" s="177" t="s">
        <v>118</v>
      </c>
      <c r="AR199" s="177" t="b">
        <v>0</v>
      </c>
      <c r="AS199" s="177" t="s">
        <v>123</v>
      </c>
      <c r="AT199" s="180" t="s">
        <v>123</v>
      </c>
      <c r="AU199" s="177" t="s">
        <v>124</v>
      </c>
      <c r="AV199" s="177" t="s">
        <v>109</v>
      </c>
      <c r="AW199" s="177" t="s">
        <v>118</v>
      </c>
      <c r="AX199" s="177" t="s">
        <v>118</v>
      </c>
      <c r="AY199" s="177" t="s">
        <v>135</v>
      </c>
      <c r="AZ199" s="177" t="s">
        <v>109</v>
      </c>
      <c r="BA199" s="177" t="s">
        <v>109</v>
      </c>
      <c r="BB199" s="177" t="s">
        <v>109</v>
      </c>
      <c r="BC199" s="177" t="s">
        <v>126</v>
      </c>
      <c r="BD199" s="177" t="s">
        <v>109</v>
      </c>
      <c r="BE199" s="180" t="s">
        <v>1541</v>
      </c>
      <c r="BF199" s="180" t="s">
        <v>1221</v>
      </c>
      <c r="BG199" s="180" t="s">
        <v>1542</v>
      </c>
      <c r="BH199" s="177" t="s">
        <v>240</v>
      </c>
      <c r="BI199" s="177" t="s">
        <v>109</v>
      </c>
      <c r="BJ199" s="177" t="b">
        <v>0</v>
      </c>
      <c r="BK199" s="233">
        <v>10503</v>
      </c>
      <c r="BL199" s="234" t="s">
        <v>128</v>
      </c>
      <c r="BM199" s="233">
        <v>11568.214633699001</v>
      </c>
      <c r="BN199" s="233">
        <v>2947.2460804000002</v>
      </c>
      <c r="BO199" s="233">
        <v>2385.1997798000002</v>
      </c>
      <c r="BP199" s="233">
        <v>974.25390489999995</v>
      </c>
      <c r="BQ199" s="233">
        <v>5.94041</v>
      </c>
      <c r="BR199" s="233">
        <v>2.0799999999999998E-3</v>
      </c>
      <c r="BS199" s="233">
        <v>0</v>
      </c>
      <c r="BT199" s="233">
        <v>0</v>
      </c>
      <c r="BU199" s="233">
        <v>0</v>
      </c>
      <c r="BV199" s="233">
        <v>0</v>
      </c>
      <c r="BW199" s="233">
        <v>0</v>
      </c>
      <c r="BX199" s="233">
        <v>0</v>
      </c>
      <c r="BY199" s="234">
        <v>0</v>
      </c>
      <c r="BZ199" s="236" t="s">
        <v>109</v>
      </c>
      <c r="CA199" s="236" t="s">
        <v>109</v>
      </c>
      <c r="CB199" s="236" t="s">
        <v>270</v>
      </c>
      <c r="CC199" s="233">
        <v>0</v>
      </c>
      <c r="CD199" s="233">
        <v>0</v>
      </c>
      <c r="CE199" s="233">
        <v>11562.2721437</v>
      </c>
      <c r="CF199" s="233">
        <v>5.94041</v>
      </c>
      <c r="CG199" s="233">
        <v>2.0799999999999998E-3</v>
      </c>
      <c r="CH199" s="233">
        <v>0</v>
      </c>
      <c r="CI199" s="233">
        <v>0</v>
      </c>
      <c r="CJ199" s="237">
        <v>0</v>
      </c>
      <c r="CK199" s="177" t="s">
        <v>128</v>
      </c>
      <c r="CL199" s="177" t="s">
        <v>128</v>
      </c>
      <c r="CM199" s="155" t="s">
        <v>109</v>
      </c>
      <c r="CN199" s="229">
        <v>1</v>
      </c>
      <c r="CO199" s="229">
        <v>0</v>
      </c>
      <c r="CP199" t="s">
        <v>1543</v>
      </c>
      <c r="CR199" s="248"/>
    </row>
    <row r="200" spans="1:96" ht="14.4" x14ac:dyDescent="0.3">
      <c r="A200">
        <v>197</v>
      </c>
      <c r="B200" s="173" t="s">
        <v>1544</v>
      </c>
      <c r="C200" s="259"/>
      <c r="D200" s="260"/>
      <c r="E200" t="s">
        <v>329</v>
      </c>
      <c r="F200" t="s">
        <v>1545</v>
      </c>
      <c r="G200" s="177" t="s">
        <v>111</v>
      </c>
      <c r="H200" s="177" t="s">
        <v>113</v>
      </c>
      <c r="I200" s="177" t="s">
        <v>109</v>
      </c>
      <c r="J200" s="177" t="s">
        <v>109</v>
      </c>
      <c r="K200" s="177" t="s">
        <v>114</v>
      </c>
      <c r="L200" s="177" t="s">
        <v>251</v>
      </c>
      <c r="M200" s="177" t="s">
        <v>109</v>
      </c>
      <c r="N200" s="177" t="s">
        <v>109</v>
      </c>
      <c r="O200" s="180">
        <v>45777</v>
      </c>
      <c r="P200" s="177" t="s">
        <v>109</v>
      </c>
      <c r="Q200" s="177" t="s">
        <v>109</v>
      </c>
      <c r="R200" s="177" t="s">
        <v>725</v>
      </c>
      <c r="S200" s="177" t="s">
        <v>109</v>
      </c>
      <c r="T200" s="177" t="s">
        <v>116</v>
      </c>
      <c r="U200" s="177" t="s">
        <v>117</v>
      </c>
      <c r="V200" s="177" t="b">
        <v>0</v>
      </c>
      <c r="W200" s="177" t="s">
        <v>109</v>
      </c>
      <c r="X200" s="261"/>
      <c r="Y200" s="177" t="s">
        <v>118</v>
      </c>
      <c r="Z200" s="176">
        <v>9</v>
      </c>
      <c r="AA200" s="177">
        <v>230</v>
      </c>
      <c r="AB200" s="177" t="s">
        <v>201</v>
      </c>
      <c r="AC200" s="177">
        <v>4.0999999999999996</v>
      </c>
      <c r="AD200" s="177" t="s">
        <v>1546</v>
      </c>
      <c r="AE200" s="177" t="s">
        <v>1547</v>
      </c>
      <c r="AF200" s="177">
        <v>1</v>
      </c>
      <c r="AG200" s="177">
        <v>18140</v>
      </c>
      <c r="AH200" s="177" t="s">
        <v>121</v>
      </c>
      <c r="AI200" s="177" t="b">
        <v>1</v>
      </c>
      <c r="AJ200" s="180">
        <v>44790</v>
      </c>
      <c r="AK200" s="177" t="s">
        <v>122</v>
      </c>
      <c r="AL200" s="177">
        <v>2019</v>
      </c>
      <c r="AM200" s="177" t="s">
        <v>109</v>
      </c>
      <c r="AN200" s="177" t="b">
        <v>0</v>
      </c>
      <c r="AO200" s="177" t="s">
        <v>109</v>
      </c>
      <c r="AP200" s="177" t="s">
        <v>109</v>
      </c>
      <c r="AQ200" s="177" t="s">
        <v>118</v>
      </c>
      <c r="AR200" s="177" t="b">
        <v>0</v>
      </c>
      <c r="AS200" s="177" t="s">
        <v>123</v>
      </c>
      <c r="AT200" s="180" t="s">
        <v>123</v>
      </c>
      <c r="AU200" s="177" t="s">
        <v>124</v>
      </c>
      <c r="AV200" s="177" t="s">
        <v>109</v>
      </c>
      <c r="AW200" s="177" t="s">
        <v>118</v>
      </c>
      <c r="AX200" s="177" t="s">
        <v>118</v>
      </c>
      <c r="AY200" s="177" t="s">
        <v>135</v>
      </c>
      <c r="AZ200" s="177" t="s">
        <v>109</v>
      </c>
      <c r="BA200" s="177" t="s">
        <v>125</v>
      </c>
      <c r="BB200" s="177" t="s">
        <v>109</v>
      </c>
      <c r="BC200" s="177" t="s">
        <v>126</v>
      </c>
      <c r="BD200" s="177" t="s">
        <v>109</v>
      </c>
      <c r="BE200" s="180" t="s">
        <v>1548</v>
      </c>
      <c r="BF200" s="180" t="s">
        <v>1549</v>
      </c>
      <c r="BG200" s="180" t="s">
        <v>1550</v>
      </c>
      <c r="BH200" s="177" t="s">
        <v>138</v>
      </c>
      <c r="BI200" s="177" t="s">
        <v>109</v>
      </c>
      <c r="BJ200" s="177" t="b">
        <v>0</v>
      </c>
      <c r="BK200" s="233">
        <v>39512</v>
      </c>
      <c r="BL200" s="234" t="s">
        <v>128</v>
      </c>
      <c r="BM200" s="254">
        <v>36157.652999999998</v>
      </c>
      <c r="BN200" s="254">
        <v>13053.780151699999</v>
      </c>
      <c r="BO200" s="254">
        <v>3769.3877596000002</v>
      </c>
      <c r="BP200" s="254">
        <v>545.10902300000009</v>
      </c>
      <c r="BQ200" s="254">
        <v>0</v>
      </c>
      <c r="BR200" s="254">
        <v>-7.1749999999999994E-2</v>
      </c>
      <c r="BS200" s="254">
        <v>0</v>
      </c>
      <c r="BT200" s="254">
        <v>0</v>
      </c>
      <c r="BU200" s="254">
        <v>0</v>
      </c>
      <c r="BV200" s="254">
        <v>0</v>
      </c>
      <c r="BW200" s="254">
        <v>0</v>
      </c>
      <c r="BX200" s="254">
        <v>0</v>
      </c>
      <c r="BY200" s="255">
        <v>0</v>
      </c>
      <c r="BZ200" s="236" t="s">
        <v>109</v>
      </c>
      <c r="CA200" s="236" t="s">
        <v>109</v>
      </c>
      <c r="CB200" s="236" t="s">
        <v>683</v>
      </c>
      <c r="CC200" s="254">
        <v>9716.9998243999999</v>
      </c>
      <c r="CD200" s="254">
        <v>3834.7013519000002</v>
      </c>
      <c r="CE200" s="254">
        <v>9573.6459029999987</v>
      </c>
      <c r="CF200" s="254">
        <v>0</v>
      </c>
      <c r="CG200" s="254">
        <v>-7.1749999999999994E-2</v>
      </c>
      <c r="CH200" s="254">
        <v>0</v>
      </c>
      <c r="CI200" s="254">
        <v>0</v>
      </c>
      <c r="CJ200" s="237">
        <v>0</v>
      </c>
      <c r="CK200" s="177" t="s">
        <v>128</v>
      </c>
      <c r="CL200" s="177" t="s">
        <v>128</v>
      </c>
      <c r="CM200" s="155" t="s">
        <v>109</v>
      </c>
      <c r="CN200" s="229">
        <v>1</v>
      </c>
      <c r="CO200" s="229">
        <v>0</v>
      </c>
      <c r="CP200" t="s">
        <v>337</v>
      </c>
      <c r="CR200" s="248"/>
    </row>
    <row r="201" spans="1:96" ht="14.4" x14ac:dyDescent="0.3">
      <c r="A201">
        <v>198</v>
      </c>
      <c r="B201" s="173" t="s">
        <v>1551</v>
      </c>
      <c r="C201" s="259"/>
      <c r="D201" s="260"/>
      <c r="E201" t="s">
        <v>329</v>
      </c>
      <c r="F201" t="s">
        <v>1552</v>
      </c>
      <c r="G201" s="177" t="s">
        <v>111</v>
      </c>
      <c r="H201" s="177" t="s">
        <v>112</v>
      </c>
      <c r="I201" s="177" t="s">
        <v>109</v>
      </c>
      <c r="J201" s="177" t="s">
        <v>109</v>
      </c>
      <c r="K201" s="177" t="s">
        <v>485</v>
      </c>
      <c r="L201" s="177" t="s">
        <v>486</v>
      </c>
      <c r="M201" s="177" t="s">
        <v>109</v>
      </c>
      <c r="N201" s="177" t="s">
        <v>109</v>
      </c>
      <c r="O201" s="180" t="s">
        <v>109</v>
      </c>
      <c r="P201" s="177" t="s">
        <v>109</v>
      </c>
      <c r="Q201" s="177" t="s">
        <v>109</v>
      </c>
      <c r="R201" s="177" t="s">
        <v>109</v>
      </c>
      <c r="S201" s="177" t="s">
        <v>109</v>
      </c>
      <c r="T201" s="177" t="s">
        <v>109</v>
      </c>
      <c r="U201" s="177" t="s">
        <v>117</v>
      </c>
      <c r="V201" s="177" t="b">
        <v>0</v>
      </c>
      <c r="W201" s="177" t="s">
        <v>109</v>
      </c>
      <c r="X201" s="261"/>
      <c r="Y201" s="177" t="s">
        <v>1553</v>
      </c>
      <c r="Z201" s="176" t="s">
        <v>1416</v>
      </c>
      <c r="AA201" s="177" t="s">
        <v>1390</v>
      </c>
      <c r="AB201" s="177" t="s">
        <v>1554</v>
      </c>
      <c r="AC201" s="177">
        <v>4.2</v>
      </c>
      <c r="AD201" s="177" t="s">
        <v>1555</v>
      </c>
      <c r="AE201" s="177" t="s">
        <v>1556</v>
      </c>
      <c r="AF201" s="177">
        <v>1</v>
      </c>
      <c r="AG201" s="177">
        <v>18251</v>
      </c>
      <c r="AH201" s="177" t="s">
        <v>121</v>
      </c>
      <c r="AI201" s="177" t="b">
        <v>1</v>
      </c>
      <c r="AJ201" s="180">
        <v>45784</v>
      </c>
      <c r="AK201" s="177" t="s">
        <v>122</v>
      </c>
      <c r="AL201" s="177">
        <v>2019</v>
      </c>
      <c r="AM201" s="177" t="s">
        <v>109</v>
      </c>
      <c r="AN201" s="177" t="b">
        <v>0</v>
      </c>
      <c r="AO201" s="177" t="s">
        <v>109</v>
      </c>
      <c r="AP201" s="177" t="s">
        <v>109</v>
      </c>
      <c r="AQ201" s="177" t="s">
        <v>118</v>
      </c>
      <c r="AR201" s="177" t="b">
        <v>0</v>
      </c>
      <c r="AS201" s="177" t="s">
        <v>1039</v>
      </c>
      <c r="AT201" s="180" t="s">
        <v>118</v>
      </c>
      <c r="AU201" s="177" t="s">
        <v>109</v>
      </c>
      <c r="AV201" s="177" t="s">
        <v>109</v>
      </c>
      <c r="AW201" s="177" t="s">
        <v>118</v>
      </c>
      <c r="AX201" s="177" t="s">
        <v>118</v>
      </c>
      <c r="AY201" s="177" t="s">
        <v>492</v>
      </c>
      <c r="AZ201" s="177" t="s">
        <v>109</v>
      </c>
      <c r="BA201" s="177" t="s">
        <v>125</v>
      </c>
      <c r="BB201" s="177" t="s">
        <v>123</v>
      </c>
      <c r="BC201" s="177" t="s">
        <v>296</v>
      </c>
      <c r="BD201" s="177" t="s">
        <v>109</v>
      </c>
      <c r="BE201" s="180" t="s">
        <v>1557</v>
      </c>
      <c r="BF201" s="180" t="s">
        <v>1558</v>
      </c>
      <c r="BG201" s="180" t="s">
        <v>1559</v>
      </c>
      <c r="BH201" s="177" t="s">
        <v>698</v>
      </c>
      <c r="BI201" s="177" t="s">
        <v>109</v>
      </c>
      <c r="BJ201" s="177" t="b">
        <v>0</v>
      </c>
      <c r="BK201" s="233">
        <v>501</v>
      </c>
      <c r="BL201" s="234" t="s">
        <v>128</v>
      </c>
      <c r="BM201" s="254">
        <v>128365.72500000001</v>
      </c>
      <c r="BN201" s="254">
        <v>51.348219999999998</v>
      </c>
      <c r="BO201" s="254">
        <v>54.071289999999998</v>
      </c>
      <c r="BP201" s="254">
        <v>10.056469999999999</v>
      </c>
      <c r="BQ201" s="254">
        <v>193.87895</v>
      </c>
      <c r="BR201" s="254">
        <v>305.30346000000003</v>
      </c>
      <c r="BS201" s="254">
        <v>153.17911999999998</v>
      </c>
      <c r="BT201" s="254">
        <v>1097.1518609000002</v>
      </c>
      <c r="BU201" s="254">
        <v>2077.7094643</v>
      </c>
      <c r="BV201" s="254">
        <v>4215.8555091000007</v>
      </c>
      <c r="BW201" s="254">
        <v>4677.0270621999998</v>
      </c>
      <c r="BX201" s="254">
        <v>3300.8430328999998</v>
      </c>
      <c r="BY201" s="255">
        <v>737.83799999999997</v>
      </c>
      <c r="BZ201" s="236" t="s">
        <v>109</v>
      </c>
      <c r="CA201" s="236" t="s">
        <v>109</v>
      </c>
      <c r="CB201" s="236" t="s">
        <v>109</v>
      </c>
      <c r="CC201" s="254">
        <v>0</v>
      </c>
      <c r="CD201" s="254">
        <v>0</v>
      </c>
      <c r="CE201" s="254">
        <v>0</v>
      </c>
      <c r="CF201" s="254">
        <v>0</v>
      </c>
      <c r="CG201" s="254">
        <v>0</v>
      </c>
      <c r="CH201" s="254">
        <v>0</v>
      </c>
      <c r="CI201" s="254">
        <v>0</v>
      </c>
      <c r="CJ201" s="237">
        <v>0</v>
      </c>
      <c r="CK201" s="177" t="s">
        <v>128</v>
      </c>
      <c r="CL201" s="177">
        <v>3.8</v>
      </c>
      <c r="CM201" s="155" t="s">
        <v>109</v>
      </c>
      <c r="CN201" s="229">
        <v>0</v>
      </c>
      <c r="CO201" s="229">
        <v>1</v>
      </c>
      <c r="CP201" t="s">
        <v>1560</v>
      </c>
      <c r="CR201" s="248"/>
    </row>
    <row r="202" spans="1:96" ht="100.8" x14ac:dyDescent="0.3">
      <c r="A202">
        <v>199</v>
      </c>
      <c r="B202" s="173" t="s">
        <v>1561</v>
      </c>
      <c r="C202" s="259"/>
      <c r="D202" s="260"/>
      <c r="E202" t="s">
        <v>109</v>
      </c>
      <c r="F202" t="s">
        <v>1562</v>
      </c>
      <c r="G202" s="177" t="s">
        <v>233</v>
      </c>
      <c r="H202" s="177" t="s">
        <v>112</v>
      </c>
      <c r="I202" s="177" t="s">
        <v>109</v>
      </c>
      <c r="J202" s="177" t="s">
        <v>109</v>
      </c>
      <c r="K202" s="177" t="s">
        <v>662</v>
      </c>
      <c r="L202" s="177" t="s">
        <v>207</v>
      </c>
      <c r="M202" s="177" t="s">
        <v>109</v>
      </c>
      <c r="N202" s="177" t="s">
        <v>109</v>
      </c>
      <c r="O202" s="180" t="s">
        <v>109</v>
      </c>
      <c r="P202" s="177" t="s">
        <v>109</v>
      </c>
      <c r="Q202" s="177" t="s">
        <v>109</v>
      </c>
      <c r="R202" s="177" t="s">
        <v>109</v>
      </c>
      <c r="S202" s="177" t="s">
        <v>109</v>
      </c>
      <c r="T202" s="177" t="s">
        <v>285</v>
      </c>
      <c r="U202" s="177" t="s">
        <v>1563</v>
      </c>
      <c r="V202" s="177" t="b">
        <v>0</v>
      </c>
      <c r="W202" s="177" t="s">
        <v>109</v>
      </c>
      <c r="X202" s="261"/>
      <c r="Y202" s="177" t="s">
        <v>118</v>
      </c>
      <c r="Z202" s="177" t="s">
        <v>118</v>
      </c>
      <c r="AA202" s="177" t="s">
        <v>119</v>
      </c>
      <c r="AB202" s="177" t="s">
        <v>109</v>
      </c>
      <c r="AC202" s="177">
        <v>1.2</v>
      </c>
      <c r="AD202" s="177" t="s">
        <v>119</v>
      </c>
      <c r="AE202" s="177" t="s">
        <v>1564</v>
      </c>
      <c r="AF202" s="177">
        <v>51</v>
      </c>
      <c r="AG202" s="177">
        <v>19134</v>
      </c>
      <c r="AH202" s="177" t="s">
        <v>121</v>
      </c>
      <c r="AI202" s="177" t="b">
        <v>1</v>
      </c>
      <c r="AJ202" s="180">
        <v>45637</v>
      </c>
      <c r="AK202" s="177" t="s">
        <v>122</v>
      </c>
      <c r="AL202" s="177" t="s">
        <v>109</v>
      </c>
      <c r="AM202" s="177" t="s">
        <v>109</v>
      </c>
      <c r="AN202" s="177" t="b">
        <v>0</v>
      </c>
      <c r="AO202" s="177" t="s">
        <v>109</v>
      </c>
      <c r="AP202" s="177" t="s">
        <v>109</v>
      </c>
      <c r="AQ202" s="177" t="s">
        <v>118</v>
      </c>
      <c r="AR202" s="177" t="b">
        <v>0</v>
      </c>
      <c r="AS202" s="177" t="s">
        <v>123</v>
      </c>
      <c r="AT202" s="180" t="s">
        <v>123</v>
      </c>
      <c r="AU202" s="177" t="s">
        <v>124</v>
      </c>
      <c r="AV202" s="177" t="s">
        <v>109</v>
      </c>
      <c r="AW202" s="177" t="s">
        <v>118</v>
      </c>
      <c r="AX202" s="177" t="s">
        <v>118</v>
      </c>
      <c r="AY202" s="177" t="s">
        <v>109</v>
      </c>
      <c r="AZ202" s="177" t="s">
        <v>109</v>
      </c>
      <c r="BA202" s="177" t="s">
        <v>218</v>
      </c>
      <c r="BB202" s="177" t="s">
        <v>109</v>
      </c>
      <c r="BC202" s="177" t="s">
        <v>126</v>
      </c>
      <c r="BD202" s="177" t="s">
        <v>109</v>
      </c>
      <c r="BE202" s="180" t="s">
        <v>109</v>
      </c>
      <c r="BF202" s="180" t="s">
        <v>127</v>
      </c>
      <c r="BG202" s="180" t="s">
        <v>119</v>
      </c>
      <c r="BH202" s="177" t="s">
        <v>109</v>
      </c>
      <c r="BI202" s="177" t="s">
        <v>109</v>
      </c>
      <c r="BJ202" s="177" t="b">
        <v>1</v>
      </c>
      <c r="BK202" s="233" t="s">
        <v>118</v>
      </c>
      <c r="BL202" s="234" t="s">
        <v>128</v>
      </c>
      <c r="BM202" s="233">
        <f>408964.01910871-SUM(BM203:BM224,BM366:BM367)</f>
        <v>347784.77876164706</v>
      </c>
      <c r="BN202" s="235">
        <f>2839.2349962-SUM(BN203:BN224,BN366:BN367)</f>
        <v>357.68908819999979</v>
      </c>
      <c r="BO202" s="235">
        <f>7005.3601615-SUM(BO203:BO224,BO366:BO367)</f>
        <v>345.53036569999949</v>
      </c>
      <c r="BP202" s="235">
        <f>5805.1609477-SUM(BP203:BP224,BP366:BP367)</f>
        <v>893.81945350000024</v>
      </c>
      <c r="BQ202" s="235">
        <f>11765.1231865-SUM(BQ203:BQ224,BQ366:BQ367)</f>
        <v>1367.3665942999996</v>
      </c>
      <c r="BR202" s="235">
        <f>28945.221522-SUM(BR203:BR224,BR366:BR367)</f>
        <v>3343.793316000003</v>
      </c>
      <c r="BS202" s="235">
        <f>6289.735816-SUM(BS203:BS224,BS366:BS367)</f>
        <v>1056.2047840000005</v>
      </c>
      <c r="BT202" s="235">
        <f>24796.0121364-SUM(BT203:BT224,BT366:BT367)</f>
        <v>22672.719722500002</v>
      </c>
      <c r="BU202" s="235">
        <f>28890.4615957-SUM(BU203:BU224,BU366:BU367)</f>
        <v>27387.579116599998</v>
      </c>
      <c r="BV202" s="235">
        <f>36163.1488326-SUM(BV203:BV224,BV366:BV367)</f>
        <v>35474.137114300007</v>
      </c>
      <c r="BW202" s="235">
        <f>40081.5219136-SUM(BW203:BW224,BW366:BW367)</f>
        <v>40081.521913600001</v>
      </c>
      <c r="BX202" s="235">
        <f>37170.0470124999-SUM(BX203:BX224,BX366:BX367)</f>
        <v>37170.047012499897</v>
      </c>
      <c r="BY202" s="234">
        <v>2929.0966599999956</v>
      </c>
      <c r="BZ202" s="236" t="s">
        <v>109</v>
      </c>
      <c r="CA202" s="236" t="s">
        <v>109</v>
      </c>
      <c r="CB202" s="236" t="s">
        <v>129</v>
      </c>
      <c r="CC202" s="235">
        <f>387.038275-SUM(CC203:CC224,CC366:CC367)</f>
        <v>326.89170360000003</v>
      </c>
      <c r="CD202" s="235">
        <f>212.0037656-SUM(CD203:CD224,CD366:CD367)</f>
        <v>163.9220856</v>
      </c>
      <c r="CE202" s="235">
        <f>7331.5037244-SUM(CE203:CE224,CE366:CE367)</f>
        <v>152.07788399999936</v>
      </c>
      <c r="CF202" s="235">
        <f>6049.0320678-SUM(CF203:CF224,CF366:CF367)</f>
        <v>1032.3880411</v>
      </c>
      <c r="CG202" s="235">
        <f>4844.7328517-SUM(CG203:CG224,CG366:CG367)</f>
        <v>1659.5538230999991</v>
      </c>
      <c r="CH202" s="235">
        <f>2101.3361794-SUM(CH203:CH224,CH366:CH367)</f>
        <v>245.2184400000001</v>
      </c>
      <c r="CI202" s="235">
        <f>15821.4500242-SUM(CI203:CI224,CI366:CI367)</f>
        <v>1357.0299079000015</v>
      </c>
      <c r="CJ202" s="237">
        <v>0</v>
      </c>
      <c r="CK202" s="177" t="s">
        <v>128</v>
      </c>
      <c r="CL202" s="177">
        <v>6.9</v>
      </c>
      <c r="CM202" s="155" t="s">
        <v>109</v>
      </c>
      <c r="CN202" s="229">
        <v>0.13550000000000001</v>
      </c>
      <c r="CO202" s="229">
        <v>0.86450000000000005</v>
      </c>
      <c r="CP202" s="138" t="s">
        <v>1565</v>
      </c>
      <c r="CR202" s="248"/>
    </row>
    <row r="203" spans="1:96" ht="115.2" x14ac:dyDescent="0.3">
      <c r="A203">
        <v>200</v>
      </c>
      <c r="B203" s="173" t="s">
        <v>1566</v>
      </c>
      <c r="C203" s="259"/>
      <c r="D203" s="260"/>
      <c r="E203" t="s">
        <v>329</v>
      </c>
      <c r="F203" t="s">
        <v>1567</v>
      </c>
      <c r="G203" s="177" t="s">
        <v>233</v>
      </c>
      <c r="H203" s="177" t="s">
        <v>112</v>
      </c>
      <c r="I203" s="177" t="s">
        <v>112</v>
      </c>
      <c r="J203" s="177" t="s">
        <v>109</v>
      </c>
      <c r="K203" s="177" t="s">
        <v>114</v>
      </c>
      <c r="L203" s="177" t="s">
        <v>207</v>
      </c>
      <c r="M203" s="177" t="s">
        <v>109</v>
      </c>
      <c r="N203" s="177" t="s">
        <v>109</v>
      </c>
      <c r="O203" s="180">
        <v>45674</v>
      </c>
      <c r="P203" s="177" t="s">
        <v>1568</v>
      </c>
      <c r="Q203" s="177" t="s">
        <v>109</v>
      </c>
      <c r="R203" s="177" t="s">
        <v>109</v>
      </c>
      <c r="S203" s="177" t="s">
        <v>109</v>
      </c>
      <c r="T203" s="177" t="s">
        <v>404</v>
      </c>
      <c r="U203" s="177" t="s">
        <v>918</v>
      </c>
      <c r="V203" s="177" t="b">
        <v>0</v>
      </c>
      <c r="W203" s="177" t="s">
        <v>109</v>
      </c>
      <c r="X203" s="261"/>
      <c r="Y203" s="177">
        <v>7</v>
      </c>
      <c r="Z203" s="177" t="s">
        <v>109</v>
      </c>
      <c r="AA203" s="177" t="s">
        <v>109</v>
      </c>
      <c r="AB203" s="177" t="s">
        <v>109</v>
      </c>
      <c r="AC203" s="177">
        <v>1.2</v>
      </c>
      <c r="AD203" s="177" t="s">
        <v>1569</v>
      </c>
      <c r="AE203" s="177" t="s">
        <v>1564</v>
      </c>
      <c r="AF203" s="177">
        <v>1</v>
      </c>
      <c r="AG203" s="177">
        <v>19134</v>
      </c>
      <c r="AH203" s="177" t="s">
        <v>121</v>
      </c>
      <c r="AI203" s="177" t="b">
        <v>1</v>
      </c>
      <c r="AJ203" s="180">
        <v>43698</v>
      </c>
      <c r="AK203" s="177" t="s">
        <v>122</v>
      </c>
      <c r="AL203" s="177" t="s">
        <v>109</v>
      </c>
      <c r="AM203" s="177" t="s">
        <v>109</v>
      </c>
      <c r="AN203" s="177" t="b">
        <v>0</v>
      </c>
      <c r="AO203" s="177" t="s">
        <v>109</v>
      </c>
      <c r="AP203" s="177" t="s">
        <v>109</v>
      </c>
      <c r="AQ203" s="177" t="s">
        <v>109</v>
      </c>
      <c r="AR203" s="177" t="b">
        <v>0</v>
      </c>
      <c r="AS203" s="177" t="s">
        <v>123</v>
      </c>
      <c r="AT203" s="180" t="s">
        <v>123</v>
      </c>
      <c r="AU203" s="177" t="s">
        <v>124</v>
      </c>
      <c r="AV203" s="177" t="s">
        <v>109</v>
      </c>
      <c r="AW203" s="177" t="s">
        <v>109</v>
      </c>
      <c r="AX203" s="177" t="s">
        <v>109</v>
      </c>
      <c r="AY203" s="177" t="s">
        <v>135</v>
      </c>
      <c r="AZ203" s="177" t="s">
        <v>109</v>
      </c>
      <c r="BA203" s="177" t="s">
        <v>218</v>
      </c>
      <c r="BB203" s="177" t="s">
        <v>109</v>
      </c>
      <c r="BC203" s="177" t="s">
        <v>126</v>
      </c>
      <c r="BD203" s="177" t="s">
        <v>109</v>
      </c>
      <c r="BE203" s="180" t="s">
        <v>1570</v>
      </c>
      <c r="BF203" s="180" t="s">
        <v>1068</v>
      </c>
      <c r="BG203" s="180" t="s">
        <v>1122</v>
      </c>
      <c r="BH203" s="177" t="s">
        <v>109</v>
      </c>
      <c r="BI203" s="177" t="s">
        <v>109</v>
      </c>
      <c r="BJ203" s="177" t="b">
        <v>1</v>
      </c>
      <c r="BK203" s="233">
        <v>999.99900000000002</v>
      </c>
      <c r="BL203" s="234" t="s">
        <v>128</v>
      </c>
      <c r="BM203" s="233">
        <v>1681.2965799999999</v>
      </c>
      <c r="BN203" s="233">
        <v>249.37807000000001</v>
      </c>
      <c r="BO203" s="233">
        <v>69.887100000000004</v>
      </c>
      <c r="BP203" s="233">
        <v>225.80632</v>
      </c>
      <c r="BQ203" s="233">
        <v>735.62585000000001</v>
      </c>
      <c r="BR203" s="233">
        <v>335.19585999999998</v>
      </c>
      <c r="BS203" s="233">
        <v>6.9842399999999998</v>
      </c>
      <c r="BT203" s="233">
        <v>0</v>
      </c>
      <c r="BU203" s="233">
        <v>0</v>
      </c>
      <c r="BV203" s="233">
        <v>0</v>
      </c>
      <c r="BW203" s="233">
        <v>0</v>
      </c>
      <c r="BX203" s="233">
        <v>0</v>
      </c>
      <c r="BY203" s="234">
        <v>0</v>
      </c>
      <c r="BZ203" s="236" t="s">
        <v>109</v>
      </c>
      <c r="CA203" s="236" t="s">
        <v>109</v>
      </c>
      <c r="CB203" s="236" t="s">
        <v>154</v>
      </c>
      <c r="CC203" s="233">
        <v>0</v>
      </c>
      <c r="CD203" s="233">
        <v>0</v>
      </c>
      <c r="CE203" s="233">
        <v>0</v>
      </c>
      <c r="CF203" s="233">
        <v>1339.1164799999999</v>
      </c>
      <c r="CG203" s="233">
        <v>335.19585999999998</v>
      </c>
      <c r="CH203" s="233">
        <v>6.9842399999999998</v>
      </c>
      <c r="CI203" s="233">
        <v>0</v>
      </c>
      <c r="CJ203" s="237">
        <v>0</v>
      </c>
      <c r="CK203" s="177" t="s">
        <v>128</v>
      </c>
      <c r="CL203" s="177" t="s">
        <v>128</v>
      </c>
      <c r="CM203" s="155" t="s">
        <v>109</v>
      </c>
      <c r="CN203" s="229">
        <v>0</v>
      </c>
      <c r="CO203" s="229">
        <v>0</v>
      </c>
      <c r="CP203" s="138" t="s">
        <v>1571</v>
      </c>
      <c r="CR203" s="248"/>
    </row>
    <row r="204" spans="1:96" ht="14.4" x14ac:dyDescent="0.3">
      <c r="A204">
        <v>201</v>
      </c>
      <c r="B204" s="173" t="s">
        <v>1572</v>
      </c>
      <c r="C204" s="259"/>
      <c r="D204" s="260"/>
      <c r="E204" t="s">
        <v>329</v>
      </c>
      <c r="F204" t="s">
        <v>1573</v>
      </c>
      <c r="G204" s="177" t="s">
        <v>233</v>
      </c>
      <c r="H204" s="177" t="s">
        <v>112</v>
      </c>
      <c r="I204" s="177" t="s">
        <v>112</v>
      </c>
      <c r="J204" s="177" t="s">
        <v>109</v>
      </c>
      <c r="K204" s="177" t="s">
        <v>114</v>
      </c>
      <c r="L204" s="177" t="s">
        <v>207</v>
      </c>
      <c r="M204" s="177" t="s">
        <v>109</v>
      </c>
      <c r="N204" s="177" t="s">
        <v>109</v>
      </c>
      <c r="O204" s="180">
        <v>45685</v>
      </c>
      <c r="P204" s="177" t="s">
        <v>109</v>
      </c>
      <c r="Q204" s="177" t="s">
        <v>109</v>
      </c>
      <c r="R204" s="177" t="s">
        <v>109</v>
      </c>
      <c r="S204" s="177" t="s">
        <v>109</v>
      </c>
      <c r="T204" s="177" t="s">
        <v>404</v>
      </c>
      <c r="U204" s="177" t="s">
        <v>918</v>
      </c>
      <c r="V204" s="177" t="b">
        <v>0</v>
      </c>
      <c r="W204" s="177" t="s">
        <v>109</v>
      </c>
      <c r="X204" s="261"/>
      <c r="Y204" s="177">
        <v>4.3</v>
      </c>
      <c r="Z204" s="177" t="s">
        <v>109</v>
      </c>
      <c r="AA204" s="177" t="s">
        <v>109</v>
      </c>
      <c r="AB204" s="177" t="s">
        <v>109</v>
      </c>
      <c r="AC204" s="177">
        <v>1.2</v>
      </c>
      <c r="AD204" s="177" t="s">
        <v>1574</v>
      </c>
      <c r="AE204" s="177" t="s">
        <v>1564</v>
      </c>
      <c r="AF204" s="177">
        <v>1</v>
      </c>
      <c r="AG204" s="177">
        <v>19134</v>
      </c>
      <c r="AH204" s="177" t="s">
        <v>121</v>
      </c>
      <c r="AI204" s="177" t="b">
        <v>1</v>
      </c>
      <c r="AJ204" s="180" t="s">
        <v>1575</v>
      </c>
      <c r="AK204" s="177" t="s">
        <v>122</v>
      </c>
      <c r="AL204" s="177" t="s">
        <v>109</v>
      </c>
      <c r="AM204" s="177" t="s">
        <v>109</v>
      </c>
      <c r="AN204" s="177" t="b">
        <v>0</v>
      </c>
      <c r="AO204" s="177" t="s">
        <v>109</v>
      </c>
      <c r="AP204" s="177" t="s">
        <v>109</v>
      </c>
      <c r="AQ204" s="177" t="s">
        <v>109</v>
      </c>
      <c r="AR204" s="177" t="b">
        <v>0</v>
      </c>
      <c r="AS204" s="177" t="s">
        <v>123</v>
      </c>
      <c r="AT204" s="180" t="s">
        <v>123</v>
      </c>
      <c r="AU204" s="177" t="s">
        <v>124</v>
      </c>
      <c r="AV204" s="177" t="s">
        <v>109</v>
      </c>
      <c r="AW204" s="177" t="s">
        <v>109</v>
      </c>
      <c r="AX204" s="177" t="s">
        <v>109</v>
      </c>
      <c r="AY204" s="177" t="s">
        <v>135</v>
      </c>
      <c r="AZ204" s="177" t="s">
        <v>109</v>
      </c>
      <c r="BA204" s="177" t="s">
        <v>109</v>
      </c>
      <c r="BB204" s="177" t="s">
        <v>109</v>
      </c>
      <c r="BC204" s="177" t="s">
        <v>126</v>
      </c>
      <c r="BD204" s="177" t="s">
        <v>109</v>
      </c>
      <c r="BE204" s="180" t="s">
        <v>1576</v>
      </c>
      <c r="BF204" s="180" t="s">
        <v>1577</v>
      </c>
      <c r="BG204" s="180" t="s">
        <v>1578</v>
      </c>
      <c r="BH204" s="177" t="s">
        <v>109</v>
      </c>
      <c r="BI204" s="177" t="s">
        <v>109</v>
      </c>
      <c r="BJ204" s="177" t="b">
        <v>1</v>
      </c>
      <c r="BK204" s="233">
        <v>2727.241</v>
      </c>
      <c r="BL204" s="234" t="s">
        <v>128</v>
      </c>
      <c r="BM204" s="233">
        <v>1539.192417876</v>
      </c>
      <c r="BN204" s="233">
        <v>69.942345799999998</v>
      </c>
      <c r="BO204" s="233">
        <v>132.3647192</v>
      </c>
      <c r="BP204" s="233">
        <v>421.6995354</v>
      </c>
      <c r="BQ204" s="233">
        <v>624.97495739999999</v>
      </c>
      <c r="BR204" s="233">
        <v>286.11592200000001</v>
      </c>
      <c r="BS204" s="233">
        <v>4.094938</v>
      </c>
      <c r="BT204" s="233">
        <v>0</v>
      </c>
      <c r="BU204" s="233">
        <v>0</v>
      </c>
      <c r="BV204" s="233">
        <v>0</v>
      </c>
      <c r="BW204" s="233">
        <v>0</v>
      </c>
      <c r="BX204" s="233">
        <v>0</v>
      </c>
      <c r="BY204" s="234">
        <v>0</v>
      </c>
      <c r="BZ204" s="236" t="s">
        <v>109</v>
      </c>
      <c r="CA204" s="236" t="s">
        <v>109</v>
      </c>
      <c r="CB204" s="236" t="s">
        <v>154</v>
      </c>
      <c r="CC204" s="233">
        <v>0</v>
      </c>
      <c r="CD204" s="233">
        <v>0</v>
      </c>
      <c r="CE204" s="233">
        <v>0</v>
      </c>
      <c r="CF204" s="233">
        <v>1248.9815579000001</v>
      </c>
      <c r="CG204" s="233">
        <v>286.11592200000001</v>
      </c>
      <c r="CH204" s="233">
        <v>4.094938</v>
      </c>
      <c r="CI204" s="233">
        <v>0</v>
      </c>
      <c r="CJ204" s="237">
        <v>0</v>
      </c>
      <c r="CK204" s="177" t="s">
        <v>128</v>
      </c>
      <c r="CL204" s="177" t="s">
        <v>128</v>
      </c>
      <c r="CM204" s="155" t="s">
        <v>109</v>
      </c>
      <c r="CN204" s="229">
        <v>0</v>
      </c>
      <c r="CO204" s="229">
        <v>0</v>
      </c>
      <c r="CP204" t="s">
        <v>1579</v>
      </c>
      <c r="CR204" s="248"/>
    </row>
    <row r="205" spans="1:96" ht="72" x14ac:dyDescent="0.3">
      <c r="A205">
        <v>202</v>
      </c>
      <c r="B205" s="173" t="s">
        <v>1580</v>
      </c>
      <c r="C205" s="259"/>
      <c r="D205" s="260"/>
      <c r="E205" t="s">
        <v>749</v>
      </c>
      <c r="F205" t="s">
        <v>1581</v>
      </c>
      <c r="G205" s="177" t="s">
        <v>233</v>
      </c>
      <c r="H205" s="177" t="s">
        <v>112</v>
      </c>
      <c r="I205" s="177" t="s">
        <v>112</v>
      </c>
      <c r="J205" s="177" t="s">
        <v>109</v>
      </c>
      <c r="K205" s="177" t="s">
        <v>114</v>
      </c>
      <c r="L205" s="177" t="s">
        <v>207</v>
      </c>
      <c r="M205" s="177" t="s">
        <v>109</v>
      </c>
      <c r="N205" s="177" t="s">
        <v>109</v>
      </c>
      <c r="O205" s="180">
        <v>45685</v>
      </c>
      <c r="P205" s="177" t="s">
        <v>109</v>
      </c>
      <c r="Q205" s="177" t="s">
        <v>109</v>
      </c>
      <c r="R205" s="177" t="s">
        <v>109</v>
      </c>
      <c r="S205" s="177" t="s">
        <v>109</v>
      </c>
      <c r="T205" s="177" t="s">
        <v>404</v>
      </c>
      <c r="U205" s="177" t="s">
        <v>918</v>
      </c>
      <c r="V205" s="177" t="b">
        <v>0</v>
      </c>
      <c r="W205" s="177" t="s">
        <v>109</v>
      </c>
      <c r="X205" s="261"/>
      <c r="Y205" s="177">
        <v>3.8</v>
      </c>
      <c r="Z205" s="177" t="s">
        <v>109</v>
      </c>
      <c r="AA205" s="177" t="s">
        <v>109</v>
      </c>
      <c r="AB205" s="177" t="s">
        <v>109</v>
      </c>
      <c r="AC205" s="177">
        <v>1.2</v>
      </c>
      <c r="AD205" s="177" t="s">
        <v>1582</v>
      </c>
      <c r="AE205" s="177" t="s">
        <v>1564</v>
      </c>
      <c r="AF205" s="177">
        <v>1</v>
      </c>
      <c r="AG205" s="177">
        <v>19134</v>
      </c>
      <c r="AH205" s="177" t="s">
        <v>121</v>
      </c>
      <c r="AI205" s="177" t="b">
        <v>1</v>
      </c>
      <c r="AJ205" s="180" t="s">
        <v>1583</v>
      </c>
      <c r="AK205" s="177" t="s">
        <v>122</v>
      </c>
      <c r="AL205" s="177" t="s">
        <v>109</v>
      </c>
      <c r="AM205" s="177" t="s">
        <v>109</v>
      </c>
      <c r="AN205" s="177" t="b">
        <v>0</v>
      </c>
      <c r="AO205" s="177" t="s">
        <v>109</v>
      </c>
      <c r="AP205" s="177" t="s">
        <v>109</v>
      </c>
      <c r="AQ205" s="177" t="s">
        <v>109</v>
      </c>
      <c r="AR205" s="177" t="b">
        <v>0</v>
      </c>
      <c r="AS205" s="177" t="s">
        <v>123</v>
      </c>
      <c r="AT205" s="180" t="s">
        <v>123</v>
      </c>
      <c r="AU205" s="177" t="s">
        <v>124</v>
      </c>
      <c r="AV205" s="177" t="s">
        <v>109</v>
      </c>
      <c r="AW205" s="177" t="s">
        <v>109</v>
      </c>
      <c r="AX205" s="177" t="s">
        <v>109</v>
      </c>
      <c r="AY205" s="177" t="s">
        <v>135</v>
      </c>
      <c r="AZ205" s="177" t="s">
        <v>109</v>
      </c>
      <c r="BA205" s="177" t="s">
        <v>218</v>
      </c>
      <c r="BB205" s="177" t="s">
        <v>109</v>
      </c>
      <c r="BC205" s="177" t="s">
        <v>126</v>
      </c>
      <c r="BD205" s="177" t="s">
        <v>109</v>
      </c>
      <c r="BE205" s="180" t="s">
        <v>1584</v>
      </c>
      <c r="BF205" s="180" t="s">
        <v>1577</v>
      </c>
      <c r="BG205" s="180" t="s">
        <v>1585</v>
      </c>
      <c r="BH205" s="177" t="s">
        <v>109</v>
      </c>
      <c r="BI205" s="177" t="s">
        <v>109</v>
      </c>
      <c r="BJ205" s="177" t="b">
        <v>1</v>
      </c>
      <c r="BK205" s="233">
        <v>3350.8594800000001</v>
      </c>
      <c r="BL205" s="234" t="s">
        <v>128</v>
      </c>
      <c r="BM205" s="233">
        <v>1050.544570798</v>
      </c>
      <c r="BN205" s="233">
        <v>35.845889200000002</v>
      </c>
      <c r="BO205" s="233">
        <v>155.86180619999999</v>
      </c>
      <c r="BP205" s="233">
        <v>278.37223260000002</v>
      </c>
      <c r="BQ205" s="233">
        <v>608.40031880000004</v>
      </c>
      <c r="BR205" s="233">
        <v>-49.890555999999997</v>
      </c>
      <c r="BS205" s="233">
        <v>21.954879999999999</v>
      </c>
      <c r="BT205" s="233">
        <v>0</v>
      </c>
      <c r="BU205" s="233">
        <v>0</v>
      </c>
      <c r="BV205" s="233">
        <v>0</v>
      </c>
      <c r="BW205" s="233">
        <v>0</v>
      </c>
      <c r="BX205" s="233">
        <v>0</v>
      </c>
      <c r="BY205" s="234">
        <v>0</v>
      </c>
      <c r="BZ205" s="236" t="s">
        <v>109</v>
      </c>
      <c r="CA205" s="236" t="s">
        <v>109</v>
      </c>
      <c r="CB205" s="236" t="s">
        <v>196</v>
      </c>
      <c r="CC205" s="233">
        <v>0</v>
      </c>
      <c r="CD205" s="233">
        <v>0</v>
      </c>
      <c r="CE205" s="233">
        <v>0</v>
      </c>
      <c r="CF205" s="233">
        <v>0</v>
      </c>
      <c r="CG205" s="233">
        <v>1028.5896908</v>
      </c>
      <c r="CH205" s="233">
        <v>21.954879999999999</v>
      </c>
      <c r="CI205" s="233">
        <v>0</v>
      </c>
      <c r="CJ205" s="237">
        <v>0</v>
      </c>
      <c r="CK205" s="177" t="s">
        <v>128</v>
      </c>
      <c r="CL205" s="177" t="s">
        <v>128</v>
      </c>
      <c r="CM205" s="155" t="s">
        <v>109</v>
      </c>
      <c r="CN205" s="229">
        <v>0</v>
      </c>
      <c r="CO205" s="229">
        <v>0</v>
      </c>
      <c r="CP205" s="138" t="s">
        <v>1586</v>
      </c>
      <c r="CR205" s="248"/>
    </row>
    <row r="206" spans="1:96" ht="14.4" x14ac:dyDescent="0.3">
      <c r="A206">
        <v>203</v>
      </c>
      <c r="B206" s="173" t="s">
        <v>1587</v>
      </c>
      <c r="C206" s="259"/>
      <c r="D206" s="260"/>
      <c r="E206" t="s">
        <v>1588</v>
      </c>
      <c r="F206" t="s">
        <v>1589</v>
      </c>
      <c r="G206" s="177" t="s">
        <v>233</v>
      </c>
      <c r="H206" s="177" t="s">
        <v>112</v>
      </c>
      <c r="I206" s="177" t="s">
        <v>112</v>
      </c>
      <c r="J206" s="177" t="s">
        <v>109</v>
      </c>
      <c r="K206" s="177" t="s">
        <v>114</v>
      </c>
      <c r="L206" s="177" t="s">
        <v>207</v>
      </c>
      <c r="M206" s="177" t="s">
        <v>109</v>
      </c>
      <c r="N206" s="177" t="s">
        <v>109</v>
      </c>
      <c r="O206" s="180">
        <v>45690</v>
      </c>
      <c r="P206" s="177" t="s">
        <v>109</v>
      </c>
      <c r="Q206" s="177" t="s">
        <v>109</v>
      </c>
      <c r="R206" s="177" t="s">
        <v>109</v>
      </c>
      <c r="S206" s="177" t="s">
        <v>109</v>
      </c>
      <c r="T206" s="177" t="s">
        <v>404</v>
      </c>
      <c r="U206" s="177" t="s">
        <v>918</v>
      </c>
      <c r="V206" s="177" t="b">
        <v>0</v>
      </c>
      <c r="W206" s="177" t="s">
        <v>109</v>
      </c>
      <c r="X206" s="261"/>
      <c r="Y206" s="177">
        <v>39.57</v>
      </c>
      <c r="Z206" s="177" t="s">
        <v>109</v>
      </c>
      <c r="AA206" s="177" t="s">
        <v>109</v>
      </c>
      <c r="AB206" s="177" t="s">
        <v>109</v>
      </c>
      <c r="AC206" s="177">
        <v>1.2</v>
      </c>
      <c r="AD206" s="177" t="s">
        <v>1590</v>
      </c>
      <c r="AE206" s="177" t="s">
        <v>1564</v>
      </c>
      <c r="AF206" s="177">
        <v>1</v>
      </c>
      <c r="AG206" s="177">
        <v>19134</v>
      </c>
      <c r="AH206" s="177" t="s">
        <v>121</v>
      </c>
      <c r="AI206" s="177" t="b">
        <v>1</v>
      </c>
      <c r="AJ206" s="180">
        <v>44855</v>
      </c>
      <c r="AK206" s="177" t="s">
        <v>122</v>
      </c>
      <c r="AL206" s="177" t="s">
        <v>109</v>
      </c>
      <c r="AM206" s="177" t="s">
        <v>109</v>
      </c>
      <c r="AN206" s="177" t="b">
        <v>0</v>
      </c>
      <c r="AO206" s="177" t="s">
        <v>109</v>
      </c>
      <c r="AP206" s="177" t="s">
        <v>109</v>
      </c>
      <c r="AQ206" s="177" t="s">
        <v>109</v>
      </c>
      <c r="AR206" s="177" t="b">
        <v>0</v>
      </c>
      <c r="AS206" s="177" t="s">
        <v>123</v>
      </c>
      <c r="AT206" s="180" t="s">
        <v>123</v>
      </c>
      <c r="AU206" s="177" t="s">
        <v>124</v>
      </c>
      <c r="AV206" s="177" t="s">
        <v>109</v>
      </c>
      <c r="AW206" s="177" t="s">
        <v>109</v>
      </c>
      <c r="AX206" s="177" t="s">
        <v>109</v>
      </c>
      <c r="AY206" s="177" t="s">
        <v>135</v>
      </c>
      <c r="AZ206" s="177" t="s">
        <v>109</v>
      </c>
      <c r="BA206" s="177" t="s">
        <v>125</v>
      </c>
      <c r="BB206" s="177" t="s">
        <v>109</v>
      </c>
      <c r="BC206" s="177" t="s">
        <v>425</v>
      </c>
      <c r="BD206" s="177" t="s">
        <v>109</v>
      </c>
      <c r="BE206" s="180" t="s">
        <v>1591</v>
      </c>
      <c r="BF206" s="180" t="s">
        <v>1592</v>
      </c>
      <c r="BG206" s="180" t="s">
        <v>1593</v>
      </c>
      <c r="BH206" s="177" t="s">
        <v>109</v>
      </c>
      <c r="BI206" s="177" t="s">
        <v>109</v>
      </c>
      <c r="BJ206" s="177" t="b">
        <v>1</v>
      </c>
      <c r="BK206" s="233">
        <v>19458.774959999999</v>
      </c>
      <c r="BL206" s="234" t="s">
        <v>128</v>
      </c>
      <c r="BM206" s="233">
        <v>3585.1050236450401</v>
      </c>
      <c r="BN206" s="233">
        <v>3.6165447999999998</v>
      </c>
      <c r="BO206" s="233">
        <v>134.6870748</v>
      </c>
      <c r="BP206" s="233">
        <v>340.28474399999999</v>
      </c>
      <c r="BQ206" s="233">
        <v>378.6109093</v>
      </c>
      <c r="BR206" s="233">
        <v>1703.5782879999999</v>
      </c>
      <c r="BS206" s="233">
        <v>765.63213399999995</v>
      </c>
      <c r="BT206" s="233">
        <v>20.271999299999901</v>
      </c>
      <c r="BU206" s="233">
        <v>0</v>
      </c>
      <c r="BV206" s="233">
        <v>0</v>
      </c>
      <c r="BW206" s="233">
        <v>0</v>
      </c>
      <c r="BX206" s="233">
        <v>0</v>
      </c>
      <c r="BY206" s="234">
        <v>3564.83302434504</v>
      </c>
      <c r="BZ206" s="236" t="s">
        <v>109</v>
      </c>
      <c r="CA206" s="236" t="s">
        <v>109</v>
      </c>
      <c r="CB206" s="236">
        <v>2025</v>
      </c>
      <c r="CC206" s="233">
        <v>0</v>
      </c>
      <c r="CD206" s="233">
        <v>0</v>
      </c>
      <c r="CE206" s="233">
        <v>0</v>
      </c>
      <c r="CF206" s="233">
        <v>0</v>
      </c>
      <c r="CG206" s="233">
        <v>0</v>
      </c>
      <c r="CH206" s="233">
        <v>0</v>
      </c>
      <c r="CI206" s="233">
        <v>3585.1050236000001</v>
      </c>
      <c r="CJ206" s="237">
        <v>0</v>
      </c>
      <c r="CK206" s="177" t="s">
        <v>128</v>
      </c>
      <c r="CL206" s="177" t="s">
        <v>128</v>
      </c>
      <c r="CM206" s="155" t="s">
        <v>109</v>
      </c>
      <c r="CN206" s="229">
        <v>0</v>
      </c>
      <c r="CO206" s="229">
        <v>0</v>
      </c>
      <c r="CP206" t="s">
        <v>1579</v>
      </c>
      <c r="CR206" s="248"/>
    </row>
    <row r="207" spans="1:96" ht="14.4" x14ac:dyDescent="0.3">
      <c r="A207">
        <v>204</v>
      </c>
      <c r="B207" s="173" t="s">
        <v>1594</v>
      </c>
      <c r="C207" s="259"/>
      <c r="D207" s="260"/>
      <c r="E207" t="s">
        <v>1595</v>
      </c>
      <c r="F207" t="s">
        <v>1596</v>
      </c>
      <c r="G207" s="177" t="s">
        <v>233</v>
      </c>
      <c r="H207" s="177" t="s">
        <v>112</v>
      </c>
      <c r="I207" s="177" t="s">
        <v>112</v>
      </c>
      <c r="J207" s="177" t="s">
        <v>109</v>
      </c>
      <c r="K207" s="177" t="s">
        <v>114</v>
      </c>
      <c r="L207" s="177" t="s">
        <v>207</v>
      </c>
      <c r="M207" s="177" t="s">
        <v>109</v>
      </c>
      <c r="N207" s="177" t="s">
        <v>109</v>
      </c>
      <c r="O207" s="180">
        <v>45708</v>
      </c>
      <c r="P207" s="177" t="s">
        <v>109</v>
      </c>
      <c r="Q207" s="177" t="s">
        <v>109</v>
      </c>
      <c r="R207" s="177" t="s">
        <v>109</v>
      </c>
      <c r="S207" s="177" t="s">
        <v>109</v>
      </c>
      <c r="T207" s="177" t="s">
        <v>404</v>
      </c>
      <c r="U207" s="177" t="s">
        <v>918</v>
      </c>
      <c r="V207" s="177" t="b">
        <v>0</v>
      </c>
      <c r="W207" s="177" t="s">
        <v>109</v>
      </c>
      <c r="X207" s="261"/>
      <c r="Y207" s="177">
        <v>1.88</v>
      </c>
      <c r="Z207" s="177" t="s">
        <v>109</v>
      </c>
      <c r="AA207" s="177" t="s">
        <v>109</v>
      </c>
      <c r="AB207" s="177" t="s">
        <v>109</v>
      </c>
      <c r="AC207" s="177">
        <v>1.2</v>
      </c>
      <c r="AD207" s="177" t="s">
        <v>1597</v>
      </c>
      <c r="AE207" s="177" t="s">
        <v>1564</v>
      </c>
      <c r="AF207" s="177">
        <v>1</v>
      </c>
      <c r="AG207" s="177">
        <v>19134</v>
      </c>
      <c r="AH207" s="177" t="s">
        <v>121</v>
      </c>
      <c r="AI207" s="177" t="b">
        <v>1</v>
      </c>
      <c r="AJ207" s="180" t="s">
        <v>1598</v>
      </c>
      <c r="AK207" s="177" t="s">
        <v>122</v>
      </c>
      <c r="AL207" s="177" t="s">
        <v>109</v>
      </c>
      <c r="AM207" s="177" t="s">
        <v>109</v>
      </c>
      <c r="AN207" s="177" t="b">
        <v>0</v>
      </c>
      <c r="AO207" s="177" t="s">
        <v>109</v>
      </c>
      <c r="AP207" s="177" t="s">
        <v>109</v>
      </c>
      <c r="AQ207" s="177" t="s">
        <v>109</v>
      </c>
      <c r="AR207" s="177" t="b">
        <v>0</v>
      </c>
      <c r="AS207" s="177" t="s">
        <v>123</v>
      </c>
      <c r="AT207" s="180" t="s">
        <v>123</v>
      </c>
      <c r="AU207" s="177" t="s">
        <v>124</v>
      </c>
      <c r="AV207" s="177" t="s">
        <v>109</v>
      </c>
      <c r="AW207" s="177" t="s">
        <v>109</v>
      </c>
      <c r="AX207" s="177" t="s">
        <v>109</v>
      </c>
      <c r="AY207" s="177" t="s">
        <v>135</v>
      </c>
      <c r="AZ207" s="177" t="s">
        <v>109</v>
      </c>
      <c r="BA207" s="177" t="s">
        <v>125</v>
      </c>
      <c r="BB207" s="177" t="s">
        <v>109</v>
      </c>
      <c r="BC207" s="177" t="s">
        <v>425</v>
      </c>
      <c r="BD207" s="177" t="s">
        <v>109</v>
      </c>
      <c r="BE207" s="180" t="s">
        <v>1599</v>
      </c>
      <c r="BF207" s="180" t="s">
        <v>127</v>
      </c>
      <c r="BG207" s="180" t="s">
        <v>656</v>
      </c>
      <c r="BH207" s="177" t="s">
        <v>109</v>
      </c>
      <c r="BI207" s="177" t="s">
        <v>109</v>
      </c>
      <c r="BJ207" s="177" t="b">
        <v>1</v>
      </c>
      <c r="BK207" s="233">
        <v>15134.75829</v>
      </c>
      <c r="BL207" s="234" t="s">
        <v>128</v>
      </c>
      <c r="BM207" s="233">
        <v>1549.839186103</v>
      </c>
      <c r="BN207" s="233">
        <v>60.146571399999999</v>
      </c>
      <c r="BO207" s="233">
        <v>48.081679999999999</v>
      </c>
      <c r="BP207" s="233">
        <v>156.4773386</v>
      </c>
      <c r="BQ207" s="233">
        <v>699.3388228</v>
      </c>
      <c r="BR207" s="233">
        <v>607.36521800000003</v>
      </c>
      <c r="BS207" s="233">
        <v>-17.287112</v>
      </c>
      <c r="BT207" s="233">
        <v>0</v>
      </c>
      <c r="BU207" s="233">
        <v>0</v>
      </c>
      <c r="BV207" s="233">
        <v>0</v>
      </c>
      <c r="BW207" s="233">
        <v>0</v>
      </c>
      <c r="BX207" s="233">
        <v>0</v>
      </c>
      <c r="BY207" s="234">
        <v>0</v>
      </c>
      <c r="BZ207" s="236" t="s">
        <v>109</v>
      </c>
      <c r="CA207" s="236" t="s">
        <v>109</v>
      </c>
      <c r="CB207" s="236" t="s">
        <v>129</v>
      </c>
      <c r="CC207" s="233">
        <v>60.146571399999999</v>
      </c>
      <c r="CD207" s="233">
        <v>48.081679999999999</v>
      </c>
      <c r="CE207" s="233">
        <v>156.4773386</v>
      </c>
      <c r="CF207" s="233">
        <v>699.3388228</v>
      </c>
      <c r="CG207" s="233">
        <v>607.36521800000003</v>
      </c>
      <c r="CH207" s="233">
        <v>-17.287112</v>
      </c>
      <c r="CI207" s="233">
        <v>0</v>
      </c>
      <c r="CJ207" s="237">
        <v>0</v>
      </c>
      <c r="CK207" s="177" t="s">
        <v>128</v>
      </c>
      <c r="CL207" s="177" t="s">
        <v>128</v>
      </c>
      <c r="CM207" s="155" t="s">
        <v>109</v>
      </c>
      <c r="CN207" s="229">
        <v>0</v>
      </c>
      <c r="CO207" s="229">
        <v>0</v>
      </c>
      <c r="CP207" t="s">
        <v>1579</v>
      </c>
      <c r="CR207" s="248"/>
    </row>
    <row r="208" spans="1:96" ht="14.4" x14ac:dyDescent="0.3">
      <c r="A208">
        <v>205</v>
      </c>
      <c r="B208" s="173" t="s">
        <v>1600</v>
      </c>
      <c r="C208" s="259"/>
      <c r="D208" s="260"/>
      <c r="E208" t="s">
        <v>191</v>
      </c>
      <c r="F208" t="s">
        <v>1601</v>
      </c>
      <c r="G208" s="177" t="s">
        <v>233</v>
      </c>
      <c r="H208" s="177" t="s">
        <v>112</v>
      </c>
      <c r="I208" s="177" t="s">
        <v>112</v>
      </c>
      <c r="J208" s="177" t="s">
        <v>109</v>
      </c>
      <c r="K208" s="177" t="s">
        <v>114</v>
      </c>
      <c r="L208" s="177" t="s">
        <v>207</v>
      </c>
      <c r="M208" s="177" t="s">
        <v>109</v>
      </c>
      <c r="N208" s="177" t="s">
        <v>109</v>
      </c>
      <c r="O208" s="180">
        <v>45682</v>
      </c>
      <c r="P208" s="177" t="s">
        <v>109</v>
      </c>
      <c r="Q208" s="177" t="s">
        <v>109</v>
      </c>
      <c r="R208" s="177" t="s">
        <v>109</v>
      </c>
      <c r="S208" s="177" t="s">
        <v>109</v>
      </c>
      <c r="T208" s="177" t="s">
        <v>404</v>
      </c>
      <c r="U208" s="177" t="s">
        <v>918</v>
      </c>
      <c r="V208" s="177" t="b">
        <v>0</v>
      </c>
      <c r="W208" s="177" t="s">
        <v>109</v>
      </c>
      <c r="X208" s="261"/>
      <c r="Y208" s="177">
        <v>7.97</v>
      </c>
      <c r="Z208" s="177" t="s">
        <v>109</v>
      </c>
      <c r="AA208" s="177" t="s">
        <v>109</v>
      </c>
      <c r="AB208" s="177" t="s">
        <v>109</v>
      </c>
      <c r="AC208" s="177">
        <v>1.2</v>
      </c>
      <c r="AD208" s="177" t="s">
        <v>1602</v>
      </c>
      <c r="AE208" s="177" t="s">
        <v>1564</v>
      </c>
      <c r="AF208" s="177">
        <v>1</v>
      </c>
      <c r="AG208" s="177">
        <v>19134</v>
      </c>
      <c r="AH208" s="177" t="s">
        <v>121</v>
      </c>
      <c r="AI208" s="177" t="b">
        <v>1</v>
      </c>
      <c r="AJ208" s="180" t="s">
        <v>1603</v>
      </c>
      <c r="AK208" s="177" t="s">
        <v>122</v>
      </c>
      <c r="AL208" s="177" t="s">
        <v>109</v>
      </c>
      <c r="AM208" s="177" t="s">
        <v>109</v>
      </c>
      <c r="AN208" s="177" t="b">
        <v>0</v>
      </c>
      <c r="AO208" s="177" t="s">
        <v>109</v>
      </c>
      <c r="AP208" s="177" t="s">
        <v>109</v>
      </c>
      <c r="AQ208" s="177" t="s">
        <v>109</v>
      </c>
      <c r="AR208" s="177" t="b">
        <v>0</v>
      </c>
      <c r="AS208" s="177" t="s">
        <v>123</v>
      </c>
      <c r="AT208" s="180" t="s">
        <v>123</v>
      </c>
      <c r="AU208" s="177" t="s">
        <v>124</v>
      </c>
      <c r="AV208" s="177" t="s">
        <v>109</v>
      </c>
      <c r="AW208" s="177" t="s">
        <v>109</v>
      </c>
      <c r="AX208" s="177" t="s">
        <v>109</v>
      </c>
      <c r="AY208" s="177" t="s">
        <v>135</v>
      </c>
      <c r="AZ208" s="177" t="s">
        <v>109</v>
      </c>
      <c r="BA208" s="177" t="s">
        <v>125</v>
      </c>
      <c r="BB208" s="177" t="s">
        <v>109</v>
      </c>
      <c r="BC208" s="177" t="s">
        <v>425</v>
      </c>
      <c r="BD208" s="177" t="s">
        <v>109</v>
      </c>
      <c r="BE208" s="180" t="s">
        <v>1604</v>
      </c>
      <c r="BF208" s="180" t="s">
        <v>1605</v>
      </c>
      <c r="BG208" s="180" t="s">
        <v>1606</v>
      </c>
      <c r="BH208" s="177" t="s">
        <v>109</v>
      </c>
      <c r="BI208" s="177" t="s">
        <v>109</v>
      </c>
      <c r="BJ208" s="177" t="b">
        <v>0</v>
      </c>
      <c r="BK208" s="233">
        <v>6333.0187400000004</v>
      </c>
      <c r="BL208" s="234" t="s">
        <v>128</v>
      </c>
      <c r="BM208" s="233">
        <v>4912.7016353999998</v>
      </c>
      <c r="BN208" s="233">
        <v>122.4822463</v>
      </c>
      <c r="BO208" s="233">
        <v>309.07165989999999</v>
      </c>
      <c r="BP208" s="233">
        <v>676.08520810000005</v>
      </c>
      <c r="BQ208" s="233">
        <v>1731.2527562</v>
      </c>
      <c r="BR208" s="233">
        <v>1253.935882</v>
      </c>
      <c r="BS208" s="233">
        <v>149.32653999999999</v>
      </c>
      <c r="BT208" s="233">
        <v>312.14685450000002</v>
      </c>
      <c r="BU208" s="233">
        <v>57.031661499999998</v>
      </c>
      <c r="BV208" s="233">
        <v>0</v>
      </c>
      <c r="BW208" s="233">
        <v>0</v>
      </c>
      <c r="BX208" s="233">
        <v>0</v>
      </c>
      <c r="BY208" s="234">
        <v>4543.5231193999998</v>
      </c>
      <c r="BZ208" s="236" t="s">
        <v>109</v>
      </c>
      <c r="CA208" s="236" t="s">
        <v>109</v>
      </c>
      <c r="CB208" s="236" t="s">
        <v>109</v>
      </c>
      <c r="CC208" s="233">
        <v>0</v>
      </c>
      <c r="CD208" s="233">
        <v>0</v>
      </c>
      <c r="CE208" s="233">
        <v>0</v>
      </c>
      <c r="CF208" s="233">
        <v>0</v>
      </c>
      <c r="CG208" s="233">
        <v>0</v>
      </c>
      <c r="CH208" s="233">
        <v>0</v>
      </c>
      <c r="CI208" s="233">
        <v>0</v>
      </c>
      <c r="CJ208" s="237">
        <v>0</v>
      </c>
      <c r="CK208" s="177" t="s">
        <v>128</v>
      </c>
      <c r="CL208" s="177" t="s">
        <v>128</v>
      </c>
      <c r="CM208" s="155" t="s">
        <v>109</v>
      </c>
      <c r="CN208" s="229">
        <v>0</v>
      </c>
      <c r="CO208" s="229">
        <v>0</v>
      </c>
      <c r="CP208" t="s">
        <v>1579</v>
      </c>
      <c r="CR208" s="248"/>
    </row>
    <row r="209" spans="1:96" ht="72" x14ac:dyDescent="0.3">
      <c r="A209">
        <v>206</v>
      </c>
      <c r="B209" s="173" t="s">
        <v>1607</v>
      </c>
      <c r="C209" s="259"/>
      <c r="D209" s="260"/>
      <c r="E209" t="s">
        <v>329</v>
      </c>
      <c r="F209" t="s">
        <v>1608</v>
      </c>
      <c r="G209" s="177" t="s">
        <v>233</v>
      </c>
      <c r="H209" s="177" t="s">
        <v>112</v>
      </c>
      <c r="I209" s="177" t="s">
        <v>112</v>
      </c>
      <c r="J209" s="177" t="s">
        <v>109</v>
      </c>
      <c r="K209" s="177" t="s">
        <v>114</v>
      </c>
      <c r="L209" s="177" t="s">
        <v>207</v>
      </c>
      <c r="M209" s="177" t="s">
        <v>109</v>
      </c>
      <c r="N209" s="177" t="s">
        <v>109</v>
      </c>
      <c r="O209" s="180">
        <v>45674</v>
      </c>
      <c r="P209" s="177" t="s">
        <v>1609</v>
      </c>
      <c r="Q209" s="177" t="s">
        <v>109</v>
      </c>
      <c r="R209" s="177" t="s">
        <v>109</v>
      </c>
      <c r="S209" s="177" t="s">
        <v>109</v>
      </c>
      <c r="T209" s="177" t="s">
        <v>404</v>
      </c>
      <c r="U209" s="177" t="s">
        <v>918</v>
      </c>
      <c r="V209" s="177" t="b">
        <v>0</v>
      </c>
      <c r="W209" s="177" t="s">
        <v>109</v>
      </c>
      <c r="X209" s="261"/>
      <c r="Y209" s="177">
        <v>7</v>
      </c>
      <c r="Z209" s="177" t="s">
        <v>109</v>
      </c>
      <c r="AA209" s="177" t="s">
        <v>109</v>
      </c>
      <c r="AB209" s="177" t="s">
        <v>109</v>
      </c>
      <c r="AC209" s="177">
        <v>1.2</v>
      </c>
      <c r="AD209" s="177" t="s">
        <v>1610</v>
      </c>
      <c r="AE209" s="177" t="s">
        <v>1564</v>
      </c>
      <c r="AF209" s="177">
        <v>1</v>
      </c>
      <c r="AG209" s="177">
        <v>19134</v>
      </c>
      <c r="AH209" s="177" t="s">
        <v>121</v>
      </c>
      <c r="AI209" s="177" t="b">
        <v>1</v>
      </c>
      <c r="AJ209" s="180" t="s">
        <v>1611</v>
      </c>
      <c r="AK209" s="177" t="s">
        <v>122</v>
      </c>
      <c r="AL209" s="177" t="s">
        <v>109</v>
      </c>
      <c r="AM209" s="177" t="s">
        <v>109</v>
      </c>
      <c r="AN209" s="177" t="b">
        <v>0</v>
      </c>
      <c r="AO209" s="177" t="s">
        <v>109</v>
      </c>
      <c r="AP209" s="177" t="s">
        <v>109</v>
      </c>
      <c r="AQ209" s="177" t="s">
        <v>109</v>
      </c>
      <c r="AR209" s="177" t="b">
        <v>0</v>
      </c>
      <c r="AS209" s="177" t="s">
        <v>123</v>
      </c>
      <c r="AT209" s="180" t="s">
        <v>123</v>
      </c>
      <c r="AU209" s="177" t="s">
        <v>124</v>
      </c>
      <c r="AV209" s="177" t="s">
        <v>109</v>
      </c>
      <c r="AW209" s="177" t="s">
        <v>109</v>
      </c>
      <c r="AX209" s="177" t="s">
        <v>109</v>
      </c>
      <c r="AY209" s="177" t="s">
        <v>135</v>
      </c>
      <c r="AZ209" s="177" t="s">
        <v>109</v>
      </c>
      <c r="BA209" s="177" t="s">
        <v>218</v>
      </c>
      <c r="BB209" s="177" t="s">
        <v>109</v>
      </c>
      <c r="BC209" s="177" t="s">
        <v>126</v>
      </c>
      <c r="BD209" s="177" t="s">
        <v>109</v>
      </c>
      <c r="BE209" s="180" t="s">
        <v>1612</v>
      </c>
      <c r="BF209" s="180" t="s">
        <v>1613</v>
      </c>
      <c r="BG209" s="180" t="s">
        <v>732</v>
      </c>
      <c r="BH209" s="177" t="s">
        <v>109</v>
      </c>
      <c r="BI209" s="177" t="s">
        <v>109</v>
      </c>
      <c r="BJ209" s="177" t="b">
        <v>1</v>
      </c>
      <c r="BK209" s="233">
        <v>5422.3960800000004</v>
      </c>
      <c r="BL209" s="234" t="s">
        <v>128</v>
      </c>
      <c r="BM209" s="233">
        <v>3180.9935620430001</v>
      </c>
      <c r="BN209" s="233">
        <v>520.17283280000004</v>
      </c>
      <c r="BO209" s="233">
        <v>171.50729559999999</v>
      </c>
      <c r="BP209" s="233">
        <v>616.52323639999997</v>
      </c>
      <c r="BQ209" s="233">
        <v>301.86561999999998</v>
      </c>
      <c r="BR209" s="233">
        <v>1277.5654360000001</v>
      </c>
      <c r="BS209" s="233">
        <v>8.8555659999999996</v>
      </c>
      <c r="BT209" s="233">
        <v>0</v>
      </c>
      <c r="BU209" s="233">
        <v>0</v>
      </c>
      <c r="BV209" s="233">
        <v>0</v>
      </c>
      <c r="BW209" s="233">
        <v>0</v>
      </c>
      <c r="BX209" s="233">
        <v>0</v>
      </c>
      <c r="BY209" s="234">
        <v>0</v>
      </c>
      <c r="BZ209" s="236" t="s">
        <v>109</v>
      </c>
      <c r="CA209" s="236" t="s">
        <v>109</v>
      </c>
      <c r="CB209" s="236" t="s">
        <v>196</v>
      </c>
      <c r="CC209" s="233">
        <v>0</v>
      </c>
      <c r="CD209" s="233">
        <v>0</v>
      </c>
      <c r="CE209" s="233">
        <v>0</v>
      </c>
      <c r="CF209" s="233">
        <v>0</v>
      </c>
      <c r="CG209" s="233">
        <v>3172.1379959999999</v>
      </c>
      <c r="CH209" s="233">
        <v>8.8555659999999996</v>
      </c>
      <c r="CI209" s="233">
        <v>0</v>
      </c>
      <c r="CJ209" s="237">
        <v>0</v>
      </c>
      <c r="CK209" s="177" t="s">
        <v>128</v>
      </c>
      <c r="CL209" s="177" t="s">
        <v>128</v>
      </c>
      <c r="CM209" s="155" t="s">
        <v>109</v>
      </c>
      <c r="CN209" s="229">
        <v>0</v>
      </c>
      <c r="CO209" s="229">
        <v>0</v>
      </c>
      <c r="CP209" s="138" t="s">
        <v>1614</v>
      </c>
      <c r="CR209" s="248"/>
    </row>
    <row r="210" spans="1:96" ht="14.4" x14ac:dyDescent="0.3">
      <c r="A210">
        <v>207</v>
      </c>
      <c r="B210" s="173" t="s">
        <v>1615</v>
      </c>
      <c r="C210" s="259"/>
      <c r="D210" s="260"/>
      <c r="E210" t="s">
        <v>1616</v>
      </c>
      <c r="F210" t="s">
        <v>1617</v>
      </c>
      <c r="G210" s="177" t="s">
        <v>233</v>
      </c>
      <c r="H210" s="177" t="s">
        <v>112</v>
      </c>
      <c r="I210" s="177" t="s">
        <v>112</v>
      </c>
      <c r="J210" s="177" t="s">
        <v>109</v>
      </c>
      <c r="K210" s="177" t="s">
        <v>114</v>
      </c>
      <c r="L210" s="177" t="s">
        <v>207</v>
      </c>
      <c r="M210" s="177" t="s">
        <v>109</v>
      </c>
      <c r="N210" s="177" t="s">
        <v>109</v>
      </c>
      <c r="O210" s="180">
        <v>45664</v>
      </c>
      <c r="P210" s="177" t="s">
        <v>109</v>
      </c>
      <c r="Q210" s="177" t="s">
        <v>109</v>
      </c>
      <c r="R210" s="177" t="s">
        <v>109</v>
      </c>
      <c r="S210" s="177" t="s">
        <v>109</v>
      </c>
      <c r="T210" s="177" t="s">
        <v>310</v>
      </c>
      <c r="U210" s="177" t="s">
        <v>918</v>
      </c>
      <c r="V210" s="177" t="b">
        <v>0</v>
      </c>
      <c r="W210" s="177" t="s">
        <v>109</v>
      </c>
      <c r="X210" s="261"/>
      <c r="Y210" s="177">
        <v>10.5</v>
      </c>
      <c r="Z210" s="177" t="s">
        <v>109</v>
      </c>
      <c r="AA210" s="177" t="s">
        <v>109</v>
      </c>
      <c r="AB210" s="177" t="s">
        <v>109</v>
      </c>
      <c r="AC210" s="177">
        <v>1.2</v>
      </c>
      <c r="AD210" s="177" t="s">
        <v>1618</v>
      </c>
      <c r="AE210" s="177" t="s">
        <v>1564</v>
      </c>
      <c r="AF210" s="177">
        <v>1</v>
      </c>
      <c r="AG210" s="177">
        <v>19134</v>
      </c>
      <c r="AH210" s="177" t="s">
        <v>121</v>
      </c>
      <c r="AI210" s="177" t="b">
        <v>1</v>
      </c>
      <c r="AJ210" s="180" t="s">
        <v>1619</v>
      </c>
      <c r="AK210" s="177" t="s">
        <v>122</v>
      </c>
      <c r="AL210" s="177" t="s">
        <v>109</v>
      </c>
      <c r="AM210" s="177" t="s">
        <v>109</v>
      </c>
      <c r="AN210" s="177" t="b">
        <v>0</v>
      </c>
      <c r="AO210" s="177" t="s">
        <v>109</v>
      </c>
      <c r="AP210" s="177" t="s">
        <v>109</v>
      </c>
      <c r="AQ210" s="177" t="s">
        <v>109</v>
      </c>
      <c r="AR210" s="177" t="b">
        <v>0</v>
      </c>
      <c r="AS210" s="177" t="s">
        <v>123</v>
      </c>
      <c r="AT210" s="180" t="s">
        <v>123</v>
      </c>
      <c r="AU210" s="177" t="s">
        <v>124</v>
      </c>
      <c r="AV210" s="177" t="s">
        <v>109</v>
      </c>
      <c r="AW210" s="177" t="s">
        <v>109</v>
      </c>
      <c r="AX210" s="177" t="s">
        <v>109</v>
      </c>
      <c r="AY210" s="177" t="s">
        <v>135</v>
      </c>
      <c r="AZ210" s="177" t="s">
        <v>109</v>
      </c>
      <c r="BA210" s="177" t="s">
        <v>125</v>
      </c>
      <c r="BB210" s="177" t="s">
        <v>109</v>
      </c>
      <c r="BC210" s="177" t="s">
        <v>1146</v>
      </c>
      <c r="BD210" s="177" t="s">
        <v>109</v>
      </c>
      <c r="BE210" s="180" t="s">
        <v>255</v>
      </c>
      <c r="BF210" s="180" t="s">
        <v>1620</v>
      </c>
      <c r="BG210" s="180" t="s">
        <v>1621</v>
      </c>
      <c r="BH210" s="177" t="s">
        <v>109</v>
      </c>
      <c r="BI210" s="177" t="s">
        <v>109</v>
      </c>
      <c r="BJ210" s="177" t="b">
        <v>1</v>
      </c>
      <c r="BK210" s="233">
        <v>4982.3459999999995</v>
      </c>
      <c r="BL210" s="234" t="s">
        <v>128</v>
      </c>
      <c r="BM210" s="233">
        <v>1850.0698745750001</v>
      </c>
      <c r="BN210" s="233">
        <v>416.4756711</v>
      </c>
      <c r="BO210" s="233">
        <v>3151.6998299000002</v>
      </c>
      <c r="BP210" s="233">
        <v>326.40804839999998</v>
      </c>
      <c r="BQ210" s="233">
        <v>65.284493100000006</v>
      </c>
      <c r="BR210" s="233">
        <v>-2351.1425319999998</v>
      </c>
      <c r="BS210" s="233">
        <v>80.024467999999999</v>
      </c>
      <c r="BT210" s="233">
        <v>0</v>
      </c>
      <c r="BU210" s="233">
        <v>0</v>
      </c>
      <c r="BV210" s="233">
        <v>0</v>
      </c>
      <c r="BW210" s="233">
        <v>0</v>
      </c>
      <c r="BX210" s="233">
        <v>0</v>
      </c>
      <c r="BY210" s="234">
        <v>0</v>
      </c>
      <c r="BZ210" s="236" t="s">
        <v>109</v>
      </c>
      <c r="CA210" s="236" t="s">
        <v>109</v>
      </c>
      <c r="CB210" s="236" t="s">
        <v>139</v>
      </c>
      <c r="CC210" s="233">
        <v>0</v>
      </c>
      <c r="CD210" s="233">
        <v>0</v>
      </c>
      <c r="CE210" s="233">
        <v>4055.9034455000001</v>
      </c>
      <c r="CF210" s="233">
        <v>65.284493100000006</v>
      </c>
      <c r="CG210" s="233">
        <v>-2351.1425319999998</v>
      </c>
      <c r="CH210" s="233">
        <v>80.024467999999999</v>
      </c>
      <c r="CI210" s="233">
        <v>0</v>
      </c>
      <c r="CJ210" s="237">
        <v>0</v>
      </c>
      <c r="CK210" s="177" t="s">
        <v>128</v>
      </c>
      <c r="CL210" s="177" t="s">
        <v>128</v>
      </c>
      <c r="CM210" s="155" t="s">
        <v>109</v>
      </c>
      <c r="CN210" s="229">
        <v>0</v>
      </c>
      <c r="CO210" s="229">
        <v>0</v>
      </c>
      <c r="CP210" t="s">
        <v>1579</v>
      </c>
      <c r="CR210" s="248"/>
    </row>
    <row r="211" spans="1:96" ht="72" x14ac:dyDescent="0.3">
      <c r="A211">
        <v>208</v>
      </c>
      <c r="B211" s="173" t="s">
        <v>1622</v>
      </c>
      <c r="C211" s="259"/>
      <c r="D211" s="260"/>
      <c r="E211" t="s">
        <v>1616</v>
      </c>
      <c r="F211" t="s">
        <v>1623</v>
      </c>
      <c r="G211" s="177" t="s">
        <v>233</v>
      </c>
      <c r="H211" s="177" t="s">
        <v>112</v>
      </c>
      <c r="I211" s="177" t="s">
        <v>112</v>
      </c>
      <c r="J211" s="177" t="s">
        <v>109</v>
      </c>
      <c r="K211" s="177" t="s">
        <v>114</v>
      </c>
      <c r="L211" s="177" t="s">
        <v>207</v>
      </c>
      <c r="M211" s="177" t="s">
        <v>109</v>
      </c>
      <c r="N211" s="177" t="s">
        <v>109</v>
      </c>
      <c r="O211" s="180">
        <v>45664</v>
      </c>
      <c r="P211" s="177" t="s">
        <v>1624</v>
      </c>
      <c r="Q211" s="177" t="s">
        <v>109</v>
      </c>
      <c r="R211" s="177" t="s">
        <v>109</v>
      </c>
      <c r="S211" s="177" t="s">
        <v>109</v>
      </c>
      <c r="T211" s="177" t="s">
        <v>310</v>
      </c>
      <c r="U211" s="177" t="s">
        <v>918</v>
      </c>
      <c r="V211" s="177" t="b">
        <v>0</v>
      </c>
      <c r="W211" s="177" t="s">
        <v>109</v>
      </c>
      <c r="X211" s="261"/>
      <c r="Y211" s="177">
        <v>12.2</v>
      </c>
      <c r="Z211" s="177" t="s">
        <v>109</v>
      </c>
      <c r="AA211" s="177" t="s">
        <v>109</v>
      </c>
      <c r="AB211" s="177" t="s">
        <v>109</v>
      </c>
      <c r="AC211" s="177">
        <v>1.2</v>
      </c>
      <c r="AD211" s="177" t="s">
        <v>1625</v>
      </c>
      <c r="AE211" s="177" t="s">
        <v>1564</v>
      </c>
      <c r="AF211" s="177">
        <v>1</v>
      </c>
      <c r="AG211" s="177">
        <v>19134</v>
      </c>
      <c r="AH211" s="177" t="s">
        <v>121</v>
      </c>
      <c r="AI211" s="177" t="b">
        <v>1</v>
      </c>
      <c r="AJ211" s="180">
        <v>43858</v>
      </c>
      <c r="AK211" s="177" t="s">
        <v>122</v>
      </c>
      <c r="AL211" s="177" t="s">
        <v>109</v>
      </c>
      <c r="AM211" s="177" t="s">
        <v>109</v>
      </c>
      <c r="AN211" s="177" t="b">
        <v>0</v>
      </c>
      <c r="AO211" s="177" t="s">
        <v>109</v>
      </c>
      <c r="AP211" s="177" t="s">
        <v>109</v>
      </c>
      <c r="AQ211" s="177" t="s">
        <v>109</v>
      </c>
      <c r="AR211" s="177" t="b">
        <v>0</v>
      </c>
      <c r="AS211" s="177" t="s">
        <v>123</v>
      </c>
      <c r="AT211" s="180" t="s">
        <v>123</v>
      </c>
      <c r="AU211" s="177" t="s">
        <v>124</v>
      </c>
      <c r="AV211" s="177" t="s">
        <v>109</v>
      </c>
      <c r="AW211" s="177" t="s">
        <v>109</v>
      </c>
      <c r="AX211" s="177" t="s">
        <v>109</v>
      </c>
      <c r="AY211" s="177" t="s">
        <v>135</v>
      </c>
      <c r="AZ211" s="177" t="s">
        <v>109</v>
      </c>
      <c r="BA211" s="177" t="s">
        <v>218</v>
      </c>
      <c r="BB211" s="177" t="s">
        <v>109</v>
      </c>
      <c r="BC211" s="177" t="s">
        <v>1146</v>
      </c>
      <c r="BD211" s="177" t="s">
        <v>109</v>
      </c>
      <c r="BE211" s="180" t="s">
        <v>255</v>
      </c>
      <c r="BF211" s="180" t="s">
        <v>1620</v>
      </c>
      <c r="BG211" s="180" t="s">
        <v>1626</v>
      </c>
      <c r="BH211" s="177" t="s">
        <v>109</v>
      </c>
      <c r="BI211" s="177" t="s">
        <v>109</v>
      </c>
      <c r="BJ211" s="177" t="b">
        <v>1</v>
      </c>
      <c r="BK211" s="233">
        <v>5467.3419999999996</v>
      </c>
      <c r="BL211" s="234" t="s">
        <v>128</v>
      </c>
      <c r="BM211" s="233">
        <v>2075.463632938</v>
      </c>
      <c r="BN211" s="233">
        <v>448.60059050000001</v>
      </c>
      <c r="BO211" s="233">
        <v>1162.5389717999999</v>
      </c>
      <c r="BP211" s="233">
        <v>211.2685233</v>
      </c>
      <c r="BQ211" s="233">
        <v>88.813522699999993</v>
      </c>
      <c r="BR211" s="233">
        <v>-149.19576799999999</v>
      </c>
      <c r="BS211" s="233">
        <v>141.20853199999999</v>
      </c>
      <c r="BT211" s="233">
        <v>0</v>
      </c>
      <c r="BU211" s="233">
        <v>0</v>
      </c>
      <c r="BV211" s="233">
        <v>0</v>
      </c>
      <c r="BW211" s="233">
        <v>0</v>
      </c>
      <c r="BX211" s="233">
        <v>0</v>
      </c>
      <c r="BY211" s="234">
        <v>0</v>
      </c>
      <c r="BZ211" s="236" t="s">
        <v>109</v>
      </c>
      <c r="CA211" s="236" t="s">
        <v>109</v>
      </c>
      <c r="CB211" s="236" t="s">
        <v>139</v>
      </c>
      <c r="CC211" s="233">
        <v>0</v>
      </c>
      <c r="CD211" s="233">
        <v>0</v>
      </c>
      <c r="CE211" s="233">
        <v>1994.6373461999999</v>
      </c>
      <c r="CF211" s="233">
        <v>88.813522699999993</v>
      </c>
      <c r="CG211" s="233">
        <v>-149.19576799999999</v>
      </c>
      <c r="CH211" s="233">
        <v>141.20853199999999</v>
      </c>
      <c r="CI211" s="233">
        <v>0</v>
      </c>
      <c r="CJ211" s="237">
        <v>0</v>
      </c>
      <c r="CK211" s="177" t="s">
        <v>128</v>
      </c>
      <c r="CL211" s="177" t="s">
        <v>128</v>
      </c>
      <c r="CM211" s="155" t="s">
        <v>109</v>
      </c>
      <c r="CN211" s="229">
        <v>0</v>
      </c>
      <c r="CO211" s="229">
        <v>0</v>
      </c>
      <c r="CP211" s="138" t="s">
        <v>1614</v>
      </c>
      <c r="CR211" s="248"/>
    </row>
    <row r="212" spans="1:96" ht="14.4" x14ac:dyDescent="0.3">
      <c r="A212">
        <v>209</v>
      </c>
      <c r="B212" s="173" t="s">
        <v>1627</v>
      </c>
      <c r="C212" s="259"/>
      <c r="D212" s="260"/>
      <c r="E212" t="s">
        <v>329</v>
      </c>
      <c r="F212" t="s">
        <v>1628</v>
      </c>
      <c r="G212" s="177" t="s">
        <v>233</v>
      </c>
      <c r="H212" s="177" t="s">
        <v>112</v>
      </c>
      <c r="I212" s="177" t="s">
        <v>112</v>
      </c>
      <c r="J212" s="177" t="s">
        <v>109</v>
      </c>
      <c r="K212" s="177" t="s">
        <v>114</v>
      </c>
      <c r="L212" s="177" t="s">
        <v>207</v>
      </c>
      <c r="M212" s="177" t="s">
        <v>109</v>
      </c>
      <c r="N212" s="177" t="s">
        <v>109</v>
      </c>
      <c r="O212" s="180">
        <v>45670</v>
      </c>
      <c r="P212" s="177" t="s">
        <v>109</v>
      </c>
      <c r="Q212" s="177" t="s">
        <v>109</v>
      </c>
      <c r="R212" s="177" t="s">
        <v>109</v>
      </c>
      <c r="S212" s="177" t="s">
        <v>109</v>
      </c>
      <c r="T212" s="177" t="s">
        <v>404</v>
      </c>
      <c r="U212" s="177" t="s">
        <v>918</v>
      </c>
      <c r="V212" s="177" t="b">
        <v>0</v>
      </c>
      <c r="W212" s="177" t="s">
        <v>109</v>
      </c>
      <c r="X212" s="261"/>
      <c r="Y212" s="177">
        <v>4.8099999999999996</v>
      </c>
      <c r="Z212" s="177" t="s">
        <v>109</v>
      </c>
      <c r="AA212" s="177" t="s">
        <v>109</v>
      </c>
      <c r="AB212" s="177" t="s">
        <v>109</v>
      </c>
      <c r="AC212" s="177">
        <v>1.2</v>
      </c>
      <c r="AD212" s="177" t="s">
        <v>1629</v>
      </c>
      <c r="AE212" s="177" t="s">
        <v>1564</v>
      </c>
      <c r="AF212" s="177">
        <v>1</v>
      </c>
      <c r="AG212" s="177">
        <v>19134</v>
      </c>
      <c r="AH212" s="177" t="s">
        <v>121</v>
      </c>
      <c r="AI212" s="177" t="b">
        <v>1</v>
      </c>
      <c r="AJ212" s="180">
        <v>43671</v>
      </c>
      <c r="AK212" s="177" t="s">
        <v>122</v>
      </c>
      <c r="AL212" s="177" t="s">
        <v>109</v>
      </c>
      <c r="AM212" s="177" t="s">
        <v>109</v>
      </c>
      <c r="AN212" s="177" t="b">
        <v>0</v>
      </c>
      <c r="AO212" s="177" t="s">
        <v>109</v>
      </c>
      <c r="AP212" s="177" t="s">
        <v>109</v>
      </c>
      <c r="AQ212" s="177" t="s">
        <v>109</v>
      </c>
      <c r="AR212" s="177" t="b">
        <v>0</v>
      </c>
      <c r="AS212" s="177" t="s">
        <v>123</v>
      </c>
      <c r="AT212" s="180" t="s">
        <v>123</v>
      </c>
      <c r="AU212" s="177" t="s">
        <v>124</v>
      </c>
      <c r="AV212" s="177" t="s">
        <v>109</v>
      </c>
      <c r="AW212" s="177" t="s">
        <v>109</v>
      </c>
      <c r="AX212" s="177" t="s">
        <v>109</v>
      </c>
      <c r="AY212" s="177" t="s">
        <v>135</v>
      </c>
      <c r="AZ212" s="177" t="s">
        <v>109</v>
      </c>
      <c r="BA212" s="177" t="s">
        <v>125</v>
      </c>
      <c r="BB212" s="177" t="s">
        <v>109</v>
      </c>
      <c r="BC212" s="177" t="s">
        <v>425</v>
      </c>
      <c r="BD212" s="177" t="s">
        <v>109</v>
      </c>
      <c r="BE212" s="180" t="s">
        <v>858</v>
      </c>
      <c r="BF212" s="180" t="s">
        <v>1630</v>
      </c>
      <c r="BG212" s="180" t="s">
        <v>1420</v>
      </c>
      <c r="BH212" s="177" t="s">
        <v>109</v>
      </c>
      <c r="BI212" s="177" t="s">
        <v>109</v>
      </c>
      <c r="BJ212" s="177" t="b">
        <v>1</v>
      </c>
      <c r="BK212" s="233">
        <v>3099.5761200000002</v>
      </c>
      <c r="BL212" s="234" t="s">
        <v>128</v>
      </c>
      <c r="BM212" s="233">
        <v>4617.2966873186897</v>
      </c>
      <c r="BN212" s="233">
        <v>8.5201100000000002E-2</v>
      </c>
      <c r="BO212" s="233">
        <v>822.63223819999996</v>
      </c>
      <c r="BP212" s="233">
        <v>547.9670337</v>
      </c>
      <c r="BQ212" s="233">
        <v>1450.8858451999999</v>
      </c>
      <c r="BR212" s="233">
        <v>1001.5417</v>
      </c>
      <c r="BS212" s="233">
        <v>641.57842400000004</v>
      </c>
      <c r="BT212" s="233">
        <v>149.8772463</v>
      </c>
      <c r="BU212" s="233">
        <v>0</v>
      </c>
      <c r="BV212" s="233">
        <v>0</v>
      </c>
      <c r="BW212" s="233">
        <v>0</v>
      </c>
      <c r="BX212" s="233">
        <v>0</v>
      </c>
      <c r="BY212" s="234">
        <v>4465</v>
      </c>
      <c r="BZ212" s="236" t="s">
        <v>109</v>
      </c>
      <c r="CA212" s="236" t="s">
        <v>109</v>
      </c>
      <c r="CB212" s="236">
        <v>2025</v>
      </c>
      <c r="CC212" s="233">
        <v>0</v>
      </c>
      <c r="CD212" s="233">
        <v>0</v>
      </c>
      <c r="CE212" s="233">
        <v>0</v>
      </c>
      <c r="CF212" s="233">
        <v>0</v>
      </c>
      <c r="CG212" s="233">
        <v>0</v>
      </c>
      <c r="CH212" s="233">
        <v>0</v>
      </c>
      <c r="CI212" s="233">
        <v>4617.2966872999996</v>
      </c>
      <c r="CJ212" s="237">
        <v>0</v>
      </c>
      <c r="CK212" s="177" t="s">
        <v>128</v>
      </c>
      <c r="CL212" s="177" t="s">
        <v>128</v>
      </c>
      <c r="CM212" s="155" t="s">
        <v>109</v>
      </c>
      <c r="CN212" s="229">
        <v>0</v>
      </c>
      <c r="CO212" s="229">
        <v>0</v>
      </c>
      <c r="CP212" t="s">
        <v>1579</v>
      </c>
      <c r="CR212" s="248"/>
    </row>
    <row r="213" spans="1:96" ht="72" x14ac:dyDescent="0.3">
      <c r="A213">
        <v>210</v>
      </c>
      <c r="B213" s="173" t="s">
        <v>1631</v>
      </c>
      <c r="C213" s="259"/>
      <c r="D213" s="260"/>
      <c r="E213" t="s">
        <v>1632</v>
      </c>
      <c r="F213" t="s">
        <v>1633</v>
      </c>
      <c r="G213" s="177" t="s">
        <v>233</v>
      </c>
      <c r="H213" s="177" t="s">
        <v>112</v>
      </c>
      <c r="I213" s="177" t="s">
        <v>112</v>
      </c>
      <c r="J213" s="177" t="s">
        <v>109</v>
      </c>
      <c r="K213" s="177" t="s">
        <v>114</v>
      </c>
      <c r="L213" s="177" t="s">
        <v>207</v>
      </c>
      <c r="M213" s="177" t="s">
        <v>109</v>
      </c>
      <c r="N213" s="177" t="s">
        <v>109</v>
      </c>
      <c r="O213" s="180">
        <v>45713</v>
      </c>
      <c r="P213" s="177" t="s">
        <v>1634</v>
      </c>
      <c r="Q213" s="177" t="s">
        <v>109</v>
      </c>
      <c r="R213" s="177" t="s">
        <v>109</v>
      </c>
      <c r="S213" s="177" t="s">
        <v>109</v>
      </c>
      <c r="T213" s="177" t="s">
        <v>310</v>
      </c>
      <c r="U213" s="177" t="s">
        <v>918</v>
      </c>
      <c r="V213" s="177" t="b">
        <v>0</v>
      </c>
      <c r="W213" s="177" t="s">
        <v>109</v>
      </c>
      <c r="X213" s="261"/>
      <c r="Y213" s="177">
        <v>0.5</v>
      </c>
      <c r="Z213" s="177" t="s">
        <v>109</v>
      </c>
      <c r="AA213" s="177" t="s">
        <v>109</v>
      </c>
      <c r="AB213" s="177" t="s">
        <v>109</v>
      </c>
      <c r="AC213" s="177">
        <v>1.2</v>
      </c>
      <c r="AD213" s="177" t="s">
        <v>1635</v>
      </c>
      <c r="AE213" s="177" t="s">
        <v>1564</v>
      </c>
      <c r="AF213" s="177">
        <v>1</v>
      </c>
      <c r="AG213" s="177">
        <v>19134</v>
      </c>
      <c r="AH213" s="177" t="s">
        <v>121</v>
      </c>
      <c r="AI213" s="177" t="b">
        <v>1</v>
      </c>
      <c r="AJ213" s="180" t="s">
        <v>1636</v>
      </c>
      <c r="AK213" s="177" t="s">
        <v>122</v>
      </c>
      <c r="AL213" s="177" t="s">
        <v>109</v>
      </c>
      <c r="AM213" s="177" t="s">
        <v>109</v>
      </c>
      <c r="AN213" s="177" t="b">
        <v>0</v>
      </c>
      <c r="AO213" s="177" t="s">
        <v>109</v>
      </c>
      <c r="AP213" s="177" t="s">
        <v>109</v>
      </c>
      <c r="AQ213" s="177" t="s">
        <v>109</v>
      </c>
      <c r="AR213" s="177" t="b">
        <v>0</v>
      </c>
      <c r="AS213" s="177" t="s">
        <v>123</v>
      </c>
      <c r="AT213" s="180" t="s">
        <v>123</v>
      </c>
      <c r="AU213" s="177" t="s">
        <v>124</v>
      </c>
      <c r="AV213" s="177" t="s">
        <v>109</v>
      </c>
      <c r="AW213" s="177" t="s">
        <v>109</v>
      </c>
      <c r="AX213" s="177" t="s">
        <v>109</v>
      </c>
      <c r="AY213" s="177" t="s">
        <v>135</v>
      </c>
      <c r="AZ213" s="177" t="s">
        <v>109</v>
      </c>
      <c r="BA213" s="177" t="s">
        <v>218</v>
      </c>
      <c r="BB213" s="177" t="s">
        <v>109</v>
      </c>
      <c r="BC213" s="177" t="s">
        <v>126</v>
      </c>
      <c r="BD213" s="177" t="s">
        <v>109</v>
      </c>
      <c r="BE213" s="180" t="s">
        <v>1637</v>
      </c>
      <c r="BF213" s="180" t="s">
        <v>1638</v>
      </c>
      <c r="BG213" s="180" t="s">
        <v>1639</v>
      </c>
      <c r="BH213" s="177" t="s">
        <v>109</v>
      </c>
      <c r="BI213" s="177" t="s">
        <v>109</v>
      </c>
      <c r="BJ213" s="177" t="b">
        <v>1</v>
      </c>
      <c r="BK213" s="233">
        <v>2201.0695900000001</v>
      </c>
      <c r="BL213" s="234" t="s">
        <v>128</v>
      </c>
      <c r="BM213" s="233">
        <v>1815.8237743239999</v>
      </c>
      <c r="BN213" s="233">
        <v>73.247139500000003</v>
      </c>
      <c r="BO213" s="233">
        <v>111.7932454</v>
      </c>
      <c r="BP213" s="233">
        <v>327.47582799999998</v>
      </c>
      <c r="BQ213" s="233">
        <v>977.89266540000006</v>
      </c>
      <c r="BR213" s="233">
        <v>262.77862199999998</v>
      </c>
      <c r="BS213" s="233">
        <v>62.636274</v>
      </c>
      <c r="BT213" s="233">
        <v>0</v>
      </c>
      <c r="BU213" s="233">
        <v>0</v>
      </c>
      <c r="BV213" s="233">
        <v>0</v>
      </c>
      <c r="BW213" s="233">
        <v>0</v>
      </c>
      <c r="BX213" s="233">
        <v>0</v>
      </c>
      <c r="BY213" s="234">
        <v>0</v>
      </c>
      <c r="BZ213" s="236" t="s">
        <v>109</v>
      </c>
      <c r="CA213" s="236" t="s">
        <v>109</v>
      </c>
      <c r="CB213" s="236" t="s">
        <v>154</v>
      </c>
      <c r="CC213" s="233">
        <v>0</v>
      </c>
      <c r="CD213" s="233">
        <v>0</v>
      </c>
      <c r="CE213" s="233">
        <v>0</v>
      </c>
      <c r="CF213" s="233">
        <v>1490.4088783</v>
      </c>
      <c r="CG213" s="233">
        <v>262.77862199999998</v>
      </c>
      <c r="CH213" s="233">
        <v>62.636274</v>
      </c>
      <c r="CI213" s="233">
        <v>0</v>
      </c>
      <c r="CJ213" s="237">
        <v>0</v>
      </c>
      <c r="CK213" s="177" t="s">
        <v>128</v>
      </c>
      <c r="CL213" s="177" t="s">
        <v>128</v>
      </c>
      <c r="CM213" s="155" t="s">
        <v>109</v>
      </c>
      <c r="CN213" s="229">
        <v>0</v>
      </c>
      <c r="CO213" s="229">
        <v>0</v>
      </c>
      <c r="CP213" s="138" t="s">
        <v>1640</v>
      </c>
      <c r="CR213" s="248"/>
    </row>
    <row r="214" spans="1:96" ht="14.4" x14ac:dyDescent="0.3">
      <c r="A214">
        <v>211</v>
      </c>
      <c r="B214" s="173" t="s">
        <v>1641</v>
      </c>
      <c r="C214" s="259"/>
      <c r="D214" s="260"/>
      <c r="E214" t="s">
        <v>1642</v>
      </c>
      <c r="F214" t="s">
        <v>1643</v>
      </c>
      <c r="G214" s="177" t="s">
        <v>233</v>
      </c>
      <c r="H214" s="177" t="s">
        <v>113</v>
      </c>
      <c r="I214" s="177" t="s">
        <v>113</v>
      </c>
      <c r="J214" s="177" t="s">
        <v>109</v>
      </c>
      <c r="K214" s="177" t="s">
        <v>114</v>
      </c>
      <c r="L214" s="177" t="s">
        <v>207</v>
      </c>
      <c r="M214" s="177" t="s">
        <v>109</v>
      </c>
      <c r="N214" s="177" t="s">
        <v>109</v>
      </c>
      <c r="O214" s="180">
        <v>45690</v>
      </c>
      <c r="P214" s="177" t="s">
        <v>109</v>
      </c>
      <c r="Q214" s="177" t="s">
        <v>109</v>
      </c>
      <c r="R214" s="177" t="s">
        <v>109</v>
      </c>
      <c r="S214" s="177" t="s">
        <v>109</v>
      </c>
      <c r="T214" s="177" t="s">
        <v>404</v>
      </c>
      <c r="U214" s="177" t="s">
        <v>918</v>
      </c>
      <c r="V214" s="177" t="b">
        <v>0</v>
      </c>
      <c r="W214" s="177" t="s">
        <v>123</v>
      </c>
      <c r="X214" s="261"/>
      <c r="Y214" s="177">
        <v>39.57</v>
      </c>
      <c r="Z214" s="177" t="s">
        <v>109</v>
      </c>
      <c r="AA214" s="177" t="s">
        <v>109</v>
      </c>
      <c r="AB214" s="177" t="s">
        <v>109</v>
      </c>
      <c r="AC214" s="177">
        <v>1.2</v>
      </c>
      <c r="AD214" s="177" t="s">
        <v>1644</v>
      </c>
      <c r="AE214" s="177" t="s">
        <v>1564</v>
      </c>
      <c r="AF214" s="177">
        <v>1</v>
      </c>
      <c r="AG214" s="177">
        <v>19134</v>
      </c>
      <c r="AH214" s="177" t="s">
        <v>121</v>
      </c>
      <c r="AI214" s="177" t="b">
        <v>1</v>
      </c>
      <c r="AJ214" s="180">
        <v>44937</v>
      </c>
      <c r="AK214" s="177" t="s">
        <v>122</v>
      </c>
      <c r="AL214" s="177">
        <v>2023</v>
      </c>
      <c r="AM214" s="177" t="s">
        <v>109</v>
      </c>
      <c r="AN214" s="177" t="b">
        <v>0</v>
      </c>
      <c r="AO214" s="177" t="s">
        <v>109</v>
      </c>
      <c r="AP214" s="177" t="s">
        <v>109</v>
      </c>
      <c r="AQ214" s="177" t="s">
        <v>109</v>
      </c>
      <c r="AR214" s="177" t="b">
        <v>0</v>
      </c>
      <c r="AS214" s="177" t="s">
        <v>123</v>
      </c>
      <c r="AT214" s="180" t="s">
        <v>123</v>
      </c>
      <c r="AU214" s="177" t="s">
        <v>124</v>
      </c>
      <c r="AV214" s="177" t="s">
        <v>109</v>
      </c>
      <c r="AW214" s="177" t="s">
        <v>226</v>
      </c>
      <c r="AX214" s="177" t="s">
        <v>118</v>
      </c>
      <c r="AY214" s="177" t="s">
        <v>135</v>
      </c>
      <c r="AZ214" s="177" t="s">
        <v>109</v>
      </c>
      <c r="BA214" s="177" t="s">
        <v>109</v>
      </c>
      <c r="BB214" s="177" t="s">
        <v>109</v>
      </c>
      <c r="BC214" s="177" t="s">
        <v>425</v>
      </c>
      <c r="BD214" s="177" t="s">
        <v>109</v>
      </c>
      <c r="BE214" s="180" t="s">
        <v>1645</v>
      </c>
      <c r="BF214" s="180" t="s">
        <v>1513</v>
      </c>
      <c r="BG214" s="180" t="s">
        <v>1646</v>
      </c>
      <c r="BH214" s="177" t="s">
        <v>109</v>
      </c>
      <c r="BI214" s="177" t="s">
        <v>109</v>
      </c>
      <c r="BJ214" s="177" t="b">
        <v>0</v>
      </c>
      <c r="BK214" s="233">
        <v>16508.67598</v>
      </c>
      <c r="BL214" s="234" t="s">
        <v>128</v>
      </c>
      <c r="BM214" s="233">
        <v>2110.3907549968499</v>
      </c>
      <c r="BN214" s="233">
        <v>0</v>
      </c>
      <c r="BO214" s="233">
        <v>0</v>
      </c>
      <c r="BP214" s="233">
        <v>0</v>
      </c>
      <c r="BQ214" s="233">
        <v>476.33280999999999</v>
      </c>
      <c r="BR214" s="233">
        <v>1163.8881899999999</v>
      </c>
      <c r="BS214" s="233">
        <v>89.974819999999994</v>
      </c>
      <c r="BT214" s="233">
        <v>115.67672520000001</v>
      </c>
      <c r="BU214" s="233">
        <v>166.6579155</v>
      </c>
      <c r="BV214" s="233">
        <v>97.860294400000001</v>
      </c>
      <c r="BW214" s="233">
        <v>0</v>
      </c>
      <c r="BX214" s="233">
        <v>0</v>
      </c>
      <c r="BY214" s="234">
        <v>1730</v>
      </c>
      <c r="BZ214" s="236" t="s">
        <v>109</v>
      </c>
      <c r="CA214" s="236" t="s">
        <v>109</v>
      </c>
      <c r="CB214" s="236" t="s">
        <v>109</v>
      </c>
      <c r="CC214" s="233">
        <v>0</v>
      </c>
      <c r="CD214" s="233">
        <v>0</v>
      </c>
      <c r="CE214" s="233">
        <v>0</v>
      </c>
      <c r="CF214" s="233">
        <v>0</v>
      </c>
      <c r="CG214" s="233">
        <v>0</v>
      </c>
      <c r="CH214" s="233">
        <v>0</v>
      </c>
      <c r="CI214" s="233">
        <v>0</v>
      </c>
      <c r="CJ214" s="237">
        <v>0</v>
      </c>
      <c r="CK214" s="177" t="s">
        <v>128</v>
      </c>
      <c r="CL214" s="177" t="s">
        <v>128</v>
      </c>
      <c r="CM214" s="155" t="s">
        <v>109</v>
      </c>
      <c r="CN214" s="229">
        <v>0</v>
      </c>
      <c r="CO214" s="229">
        <v>0</v>
      </c>
      <c r="CP214" t="s">
        <v>155</v>
      </c>
      <c r="CR214" s="248"/>
    </row>
    <row r="215" spans="1:96" ht="14.4" x14ac:dyDescent="0.3">
      <c r="A215">
        <v>212</v>
      </c>
      <c r="B215" s="173" t="s">
        <v>1647</v>
      </c>
      <c r="C215" s="259"/>
      <c r="D215" s="260"/>
      <c r="E215" t="s">
        <v>1648</v>
      </c>
      <c r="F215" t="s">
        <v>1649</v>
      </c>
      <c r="G215" s="177" t="s">
        <v>233</v>
      </c>
      <c r="H215" s="177" t="s">
        <v>146</v>
      </c>
      <c r="I215" s="177" t="s">
        <v>113</v>
      </c>
      <c r="J215" s="177" t="s">
        <v>109</v>
      </c>
      <c r="K215" s="177" t="s">
        <v>114</v>
      </c>
      <c r="L215" s="177" t="s">
        <v>207</v>
      </c>
      <c r="M215" s="177" t="s">
        <v>109</v>
      </c>
      <c r="N215" s="177" t="s">
        <v>109</v>
      </c>
      <c r="O215" s="180">
        <v>45662</v>
      </c>
      <c r="P215" s="177" t="s">
        <v>109</v>
      </c>
      <c r="Q215" s="177" t="s">
        <v>109</v>
      </c>
      <c r="R215" s="177" t="s">
        <v>109</v>
      </c>
      <c r="S215" s="177" t="s">
        <v>109</v>
      </c>
      <c r="T215" s="177" t="s">
        <v>404</v>
      </c>
      <c r="U215" s="177" t="s">
        <v>918</v>
      </c>
      <c r="V215" s="177" t="b">
        <v>0</v>
      </c>
      <c r="W215" s="177" t="s">
        <v>123</v>
      </c>
      <c r="X215" s="261"/>
      <c r="Y215" s="177">
        <v>17.739999999999998</v>
      </c>
      <c r="Z215" s="177" t="s">
        <v>109</v>
      </c>
      <c r="AA215" s="177" t="s">
        <v>109</v>
      </c>
      <c r="AB215" s="177" t="s">
        <v>109</v>
      </c>
      <c r="AC215" s="177">
        <v>1.2</v>
      </c>
      <c r="AD215" s="177" t="s">
        <v>1650</v>
      </c>
      <c r="AE215" s="177" t="s">
        <v>1564</v>
      </c>
      <c r="AF215" s="177">
        <v>1</v>
      </c>
      <c r="AG215" s="177">
        <v>19134</v>
      </c>
      <c r="AH215" s="177" t="s">
        <v>121</v>
      </c>
      <c r="AI215" s="177" t="b">
        <v>1</v>
      </c>
      <c r="AJ215" s="180">
        <v>45105</v>
      </c>
      <c r="AK215" s="177" t="s">
        <v>122</v>
      </c>
      <c r="AL215" s="177">
        <v>2024</v>
      </c>
      <c r="AM215" s="177" t="s">
        <v>109</v>
      </c>
      <c r="AN215" s="177" t="b">
        <v>0</v>
      </c>
      <c r="AO215" s="177" t="s">
        <v>109</v>
      </c>
      <c r="AP215" s="177" t="s">
        <v>109</v>
      </c>
      <c r="AQ215" s="177" t="s">
        <v>109</v>
      </c>
      <c r="AR215" s="177" t="b">
        <v>0</v>
      </c>
      <c r="AS215" s="177" t="s">
        <v>123</v>
      </c>
      <c r="AT215" s="180" t="s">
        <v>123</v>
      </c>
      <c r="AU215" s="177" t="s">
        <v>124</v>
      </c>
      <c r="AV215" s="177" t="s">
        <v>109</v>
      </c>
      <c r="AW215" s="177" t="s">
        <v>226</v>
      </c>
      <c r="AX215" s="177" t="s">
        <v>118</v>
      </c>
      <c r="AY215" s="177" t="s">
        <v>135</v>
      </c>
      <c r="AZ215" s="177" t="s">
        <v>109</v>
      </c>
      <c r="BA215" s="177" t="s">
        <v>109</v>
      </c>
      <c r="BB215" s="177" t="s">
        <v>109</v>
      </c>
      <c r="BC215" s="177" t="s">
        <v>546</v>
      </c>
      <c r="BD215" s="177" t="s">
        <v>109</v>
      </c>
      <c r="BE215" s="180" t="s">
        <v>1651</v>
      </c>
      <c r="BF215" s="180" t="s">
        <v>1652</v>
      </c>
      <c r="BG215" s="180" t="s">
        <v>1462</v>
      </c>
      <c r="BH215" s="177" t="s">
        <v>109</v>
      </c>
      <c r="BI215" s="177" t="s">
        <v>109</v>
      </c>
      <c r="BJ215" s="177" t="b">
        <v>0</v>
      </c>
      <c r="BK215" s="233" t="s">
        <v>118</v>
      </c>
      <c r="BL215" s="234" t="s">
        <v>128</v>
      </c>
      <c r="BM215" s="233">
        <v>3157.8117278156201</v>
      </c>
      <c r="BN215" s="233">
        <v>0</v>
      </c>
      <c r="BO215" s="233">
        <v>0</v>
      </c>
      <c r="BP215" s="233">
        <v>0</v>
      </c>
      <c r="BQ215" s="233">
        <v>24.301110000000001</v>
      </c>
      <c r="BR215" s="233">
        <v>2129.6833999999999</v>
      </c>
      <c r="BS215" s="233">
        <v>414.96823999999998</v>
      </c>
      <c r="BT215" s="233">
        <v>165.78257489999999</v>
      </c>
      <c r="BU215" s="233">
        <v>238.84647759999999</v>
      </c>
      <c r="BV215" s="233">
        <v>184.22992540000001</v>
      </c>
      <c r="BW215" s="233">
        <v>0</v>
      </c>
      <c r="BX215" s="233">
        <v>0</v>
      </c>
      <c r="BY215" s="234">
        <v>2569</v>
      </c>
      <c r="BZ215" s="236" t="s">
        <v>109</v>
      </c>
      <c r="CA215" s="236" t="s">
        <v>109</v>
      </c>
      <c r="CB215" s="236" t="s">
        <v>109</v>
      </c>
      <c r="CC215" s="233">
        <v>0</v>
      </c>
      <c r="CD215" s="233">
        <v>0</v>
      </c>
      <c r="CE215" s="233">
        <v>0</v>
      </c>
      <c r="CF215" s="233">
        <v>0</v>
      </c>
      <c r="CG215" s="233">
        <v>0</v>
      </c>
      <c r="CH215" s="233">
        <v>0</v>
      </c>
      <c r="CI215" s="233">
        <v>0</v>
      </c>
      <c r="CJ215" s="237">
        <v>0</v>
      </c>
      <c r="CK215" s="177" t="s">
        <v>128</v>
      </c>
      <c r="CL215" s="177" t="s">
        <v>128</v>
      </c>
      <c r="CM215" s="155" t="s">
        <v>109</v>
      </c>
      <c r="CN215" s="229">
        <v>0</v>
      </c>
      <c r="CO215" s="229">
        <v>0</v>
      </c>
      <c r="CP215" t="s">
        <v>155</v>
      </c>
      <c r="CR215" s="248"/>
    </row>
    <row r="216" spans="1:96" ht="14.4" x14ac:dyDescent="0.3">
      <c r="A216">
        <v>213</v>
      </c>
      <c r="B216" s="173" t="s">
        <v>1653</v>
      </c>
      <c r="C216" s="259"/>
      <c r="D216" s="260"/>
      <c r="E216" t="s">
        <v>1648</v>
      </c>
      <c r="F216" t="s">
        <v>1649</v>
      </c>
      <c r="G216" s="177" t="s">
        <v>233</v>
      </c>
      <c r="H216" s="177" t="s">
        <v>146</v>
      </c>
      <c r="I216" s="177" t="s">
        <v>113</v>
      </c>
      <c r="J216" s="177" t="s">
        <v>109</v>
      </c>
      <c r="K216" s="177" t="s">
        <v>114</v>
      </c>
      <c r="L216" s="177" t="s">
        <v>207</v>
      </c>
      <c r="M216" s="177" t="s">
        <v>109</v>
      </c>
      <c r="N216" s="177" t="s">
        <v>109</v>
      </c>
      <c r="O216" s="180">
        <v>45662</v>
      </c>
      <c r="P216" s="177" t="s">
        <v>109</v>
      </c>
      <c r="Q216" s="177" t="s">
        <v>109</v>
      </c>
      <c r="R216" s="177" t="s">
        <v>109</v>
      </c>
      <c r="S216" s="177" t="s">
        <v>109</v>
      </c>
      <c r="T216" s="177" t="s">
        <v>404</v>
      </c>
      <c r="U216" s="177" t="s">
        <v>918</v>
      </c>
      <c r="V216" s="177" t="b">
        <v>0</v>
      </c>
      <c r="W216" s="177" t="s">
        <v>123</v>
      </c>
      <c r="X216" s="261"/>
      <c r="Y216" s="177">
        <v>17.739999999999998</v>
      </c>
      <c r="Z216" s="177" t="s">
        <v>109</v>
      </c>
      <c r="AA216" s="177" t="s">
        <v>109</v>
      </c>
      <c r="AB216" s="177" t="s">
        <v>109</v>
      </c>
      <c r="AC216" s="177">
        <v>1.2</v>
      </c>
      <c r="AD216" s="177" t="s">
        <v>1654</v>
      </c>
      <c r="AE216" s="177" t="s">
        <v>1564</v>
      </c>
      <c r="AF216" s="177">
        <v>1</v>
      </c>
      <c r="AG216" s="177">
        <v>19134</v>
      </c>
      <c r="AH216" s="177" t="s">
        <v>121</v>
      </c>
      <c r="AI216" s="177" t="b">
        <v>1</v>
      </c>
      <c r="AJ216" s="180">
        <v>45105</v>
      </c>
      <c r="AK216" s="177" t="s">
        <v>122</v>
      </c>
      <c r="AL216" s="177">
        <v>2024</v>
      </c>
      <c r="AM216" s="177" t="s">
        <v>109</v>
      </c>
      <c r="AN216" s="177" t="b">
        <v>0</v>
      </c>
      <c r="AO216" s="177" t="s">
        <v>109</v>
      </c>
      <c r="AP216" s="177" t="s">
        <v>109</v>
      </c>
      <c r="AQ216" s="177" t="s">
        <v>109</v>
      </c>
      <c r="AR216" s="177" t="b">
        <v>0</v>
      </c>
      <c r="AS216" s="177" t="s">
        <v>123</v>
      </c>
      <c r="AT216" s="180" t="s">
        <v>123</v>
      </c>
      <c r="AU216" s="177" t="s">
        <v>124</v>
      </c>
      <c r="AV216" s="177" t="s">
        <v>109</v>
      </c>
      <c r="AW216" s="177" t="s">
        <v>226</v>
      </c>
      <c r="AX216" s="177" t="s">
        <v>118</v>
      </c>
      <c r="AY216" s="177" t="s">
        <v>135</v>
      </c>
      <c r="AZ216" s="177" t="s">
        <v>109</v>
      </c>
      <c r="BA216" s="177" t="s">
        <v>218</v>
      </c>
      <c r="BB216" s="177" t="s">
        <v>109</v>
      </c>
      <c r="BC216" s="177" t="s">
        <v>546</v>
      </c>
      <c r="BD216" s="177" t="s">
        <v>109</v>
      </c>
      <c r="BE216" s="180" t="s">
        <v>1651</v>
      </c>
      <c r="BF216" s="180" t="s">
        <v>1655</v>
      </c>
      <c r="BG216" s="180" t="s">
        <v>1656</v>
      </c>
      <c r="BH216" s="177" t="s">
        <v>109</v>
      </c>
      <c r="BI216" s="177" t="s">
        <v>109</v>
      </c>
      <c r="BJ216" s="177" t="b">
        <v>0</v>
      </c>
      <c r="BK216" s="233">
        <v>2256.5469800000001</v>
      </c>
      <c r="BL216" s="234" t="s">
        <v>128</v>
      </c>
      <c r="BM216" s="233">
        <v>4477.13937592806</v>
      </c>
      <c r="BN216" s="233">
        <v>0</v>
      </c>
      <c r="BO216" s="233">
        <v>0</v>
      </c>
      <c r="BP216" s="233">
        <v>0</v>
      </c>
      <c r="BQ216" s="233">
        <v>165.38633999999999</v>
      </c>
      <c r="BR216" s="233">
        <v>2911.1609899999999</v>
      </c>
      <c r="BS216" s="233">
        <v>563.84829000000002</v>
      </c>
      <c r="BT216" s="233">
        <v>244.7434648</v>
      </c>
      <c r="BU216" s="233">
        <v>352.60710929999999</v>
      </c>
      <c r="BV216" s="233">
        <v>239.39318180000001</v>
      </c>
      <c r="BW216" s="233">
        <v>0</v>
      </c>
      <c r="BX216" s="233">
        <v>0</v>
      </c>
      <c r="BY216" s="234">
        <v>3640</v>
      </c>
      <c r="BZ216" s="236" t="s">
        <v>109</v>
      </c>
      <c r="CA216" s="236" t="s">
        <v>109</v>
      </c>
      <c r="CB216" s="236" t="s">
        <v>109</v>
      </c>
      <c r="CC216" s="233">
        <v>0</v>
      </c>
      <c r="CD216" s="233">
        <v>0</v>
      </c>
      <c r="CE216" s="233">
        <v>0</v>
      </c>
      <c r="CF216" s="233">
        <v>0</v>
      </c>
      <c r="CG216" s="233">
        <v>0</v>
      </c>
      <c r="CH216" s="233">
        <v>0</v>
      </c>
      <c r="CI216" s="233">
        <v>0</v>
      </c>
      <c r="CJ216" s="237">
        <v>0</v>
      </c>
      <c r="CK216" s="177" t="s">
        <v>128</v>
      </c>
      <c r="CL216" s="177" t="s">
        <v>128</v>
      </c>
      <c r="CM216" s="155" t="s">
        <v>109</v>
      </c>
      <c r="CN216" s="229">
        <v>0</v>
      </c>
      <c r="CO216" s="229">
        <v>0</v>
      </c>
      <c r="CP216" t="s">
        <v>449</v>
      </c>
      <c r="CR216" s="248"/>
    </row>
    <row r="217" spans="1:96" ht="14.4" x14ac:dyDescent="0.3">
      <c r="A217">
        <v>214</v>
      </c>
      <c r="B217" s="173" t="s">
        <v>1657</v>
      </c>
      <c r="C217" s="259"/>
      <c r="D217" s="260"/>
      <c r="E217" t="s">
        <v>1648</v>
      </c>
      <c r="F217" t="s">
        <v>1658</v>
      </c>
      <c r="G217" s="177" t="s">
        <v>233</v>
      </c>
      <c r="H217" s="177" t="s">
        <v>146</v>
      </c>
      <c r="I217" s="177" t="s">
        <v>113</v>
      </c>
      <c r="J217" s="177" t="s">
        <v>109</v>
      </c>
      <c r="K217" s="177" t="s">
        <v>114</v>
      </c>
      <c r="L217" s="177" t="s">
        <v>207</v>
      </c>
      <c r="M217" s="177" t="s">
        <v>109</v>
      </c>
      <c r="N217" s="177" t="s">
        <v>109</v>
      </c>
      <c r="O217" s="180">
        <v>45662</v>
      </c>
      <c r="P217" s="177" t="s">
        <v>109</v>
      </c>
      <c r="Q217" s="177" t="s">
        <v>109</v>
      </c>
      <c r="R217" s="177" t="s">
        <v>109</v>
      </c>
      <c r="S217" s="177" t="s">
        <v>109</v>
      </c>
      <c r="T217" s="177" t="s">
        <v>404</v>
      </c>
      <c r="U217" s="177" t="s">
        <v>918</v>
      </c>
      <c r="V217" s="177" t="b">
        <v>0</v>
      </c>
      <c r="W217" s="177" t="s">
        <v>123</v>
      </c>
      <c r="X217" s="261"/>
      <c r="Y217" s="177">
        <v>8.23</v>
      </c>
      <c r="Z217" s="177" t="s">
        <v>109</v>
      </c>
      <c r="AA217" s="177" t="s">
        <v>109</v>
      </c>
      <c r="AB217" s="177" t="s">
        <v>109</v>
      </c>
      <c r="AC217" s="177">
        <v>1.2</v>
      </c>
      <c r="AD217" s="177" t="s">
        <v>1659</v>
      </c>
      <c r="AE217" s="177" t="s">
        <v>1564</v>
      </c>
      <c r="AF217" s="177">
        <v>1</v>
      </c>
      <c r="AG217" s="177">
        <v>19134</v>
      </c>
      <c r="AH217" s="177" t="s">
        <v>121</v>
      </c>
      <c r="AI217" s="177" t="b">
        <v>1</v>
      </c>
      <c r="AJ217" s="180">
        <v>45107</v>
      </c>
      <c r="AK217" s="177" t="s">
        <v>122</v>
      </c>
      <c r="AL217" s="177">
        <v>2024</v>
      </c>
      <c r="AM217" s="177" t="s">
        <v>109</v>
      </c>
      <c r="AN217" s="177" t="b">
        <v>0</v>
      </c>
      <c r="AO217" s="177" t="s">
        <v>109</v>
      </c>
      <c r="AP217" s="177" t="s">
        <v>109</v>
      </c>
      <c r="AQ217" s="177" t="s">
        <v>109</v>
      </c>
      <c r="AR217" s="177" t="b">
        <v>0</v>
      </c>
      <c r="AS217" s="177" t="s">
        <v>123</v>
      </c>
      <c r="AT217" s="180" t="s">
        <v>123</v>
      </c>
      <c r="AU217" s="177" t="s">
        <v>124</v>
      </c>
      <c r="AV217" s="177" t="s">
        <v>109</v>
      </c>
      <c r="AW217" s="177" t="s">
        <v>226</v>
      </c>
      <c r="AX217" s="177" t="s">
        <v>118</v>
      </c>
      <c r="AY217" s="177" t="s">
        <v>135</v>
      </c>
      <c r="AZ217" s="177" t="s">
        <v>109</v>
      </c>
      <c r="BA217" s="177" t="s">
        <v>218</v>
      </c>
      <c r="BB217" s="177" t="s">
        <v>109</v>
      </c>
      <c r="BC217" s="177" t="s">
        <v>546</v>
      </c>
      <c r="BD217" s="177" t="s">
        <v>109</v>
      </c>
      <c r="BE217" s="180" t="s">
        <v>1660</v>
      </c>
      <c r="BF217" s="180" t="s">
        <v>1661</v>
      </c>
      <c r="BG217" s="180" t="s">
        <v>1662</v>
      </c>
      <c r="BH217" s="177" t="s">
        <v>109</v>
      </c>
      <c r="BI217" s="177" t="s">
        <v>109</v>
      </c>
      <c r="BJ217" s="177" t="b">
        <v>0</v>
      </c>
      <c r="BK217" s="233" t="s">
        <v>118</v>
      </c>
      <c r="BL217" s="234" t="s">
        <v>128</v>
      </c>
      <c r="BM217" s="233">
        <v>2197.5721833282901</v>
      </c>
      <c r="BN217" s="233">
        <v>0</v>
      </c>
      <c r="BO217" s="233">
        <v>0</v>
      </c>
      <c r="BP217" s="233">
        <v>0</v>
      </c>
      <c r="BQ217" s="233">
        <v>176.19238000000001</v>
      </c>
      <c r="BR217" s="233">
        <v>1232.9519299999999</v>
      </c>
      <c r="BS217" s="233">
        <v>399.05775</v>
      </c>
      <c r="BT217" s="233">
        <v>113.8888607</v>
      </c>
      <c r="BU217" s="233">
        <v>164.08210120000001</v>
      </c>
      <c r="BV217" s="233">
        <v>111.3991614</v>
      </c>
      <c r="BW217" s="233">
        <v>0</v>
      </c>
      <c r="BX217" s="233">
        <v>0</v>
      </c>
      <c r="BY217" s="234">
        <v>1808</v>
      </c>
      <c r="BZ217" s="236" t="s">
        <v>109</v>
      </c>
      <c r="CA217" s="236" t="s">
        <v>109</v>
      </c>
      <c r="CB217" s="236" t="s">
        <v>109</v>
      </c>
      <c r="CC217" s="233">
        <v>0</v>
      </c>
      <c r="CD217" s="233">
        <v>0</v>
      </c>
      <c r="CE217" s="233">
        <v>0</v>
      </c>
      <c r="CF217" s="233">
        <v>0</v>
      </c>
      <c r="CG217" s="233">
        <v>0</v>
      </c>
      <c r="CH217" s="233">
        <v>0</v>
      </c>
      <c r="CI217" s="233">
        <v>0</v>
      </c>
      <c r="CJ217" s="237">
        <v>0</v>
      </c>
      <c r="CK217" s="177" t="s">
        <v>128</v>
      </c>
      <c r="CL217" s="177" t="s">
        <v>128</v>
      </c>
      <c r="CM217" s="155" t="s">
        <v>109</v>
      </c>
      <c r="CN217" s="229">
        <v>0</v>
      </c>
      <c r="CO217" s="229">
        <v>0</v>
      </c>
      <c r="CP217" t="s">
        <v>1663</v>
      </c>
      <c r="CR217" s="248"/>
    </row>
    <row r="218" spans="1:96" ht="14.4" x14ac:dyDescent="0.3">
      <c r="A218">
        <v>215</v>
      </c>
      <c r="B218" s="173" t="s">
        <v>1664</v>
      </c>
      <c r="C218" s="259"/>
      <c r="D218" s="260"/>
      <c r="E218" t="s">
        <v>410</v>
      </c>
      <c r="F218" t="s">
        <v>1665</v>
      </c>
      <c r="G218" s="177" t="s">
        <v>233</v>
      </c>
      <c r="H218" s="177" t="s">
        <v>113</v>
      </c>
      <c r="I218" s="177" t="s">
        <v>113</v>
      </c>
      <c r="J218" s="177" t="s">
        <v>109</v>
      </c>
      <c r="K218" s="177" t="s">
        <v>114</v>
      </c>
      <c r="L218" s="177" t="s">
        <v>207</v>
      </c>
      <c r="M218" s="177" t="s">
        <v>109</v>
      </c>
      <c r="N218" s="177" t="s">
        <v>109</v>
      </c>
      <c r="O218" s="180">
        <v>45670</v>
      </c>
      <c r="P218" s="177" t="s">
        <v>109</v>
      </c>
      <c r="Q218" s="177" t="s">
        <v>109</v>
      </c>
      <c r="R218" s="177" t="s">
        <v>109</v>
      </c>
      <c r="S218" s="177" t="s">
        <v>109</v>
      </c>
      <c r="T218" s="177" t="s">
        <v>404</v>
      </c>
      <c r="U218" s="177" t="s">
        <v>918</v>
      </c>
      <c r="V218" s="177" t="b">
        <v>0</v>
      </c>
      <c r="W218" s="177" t="s">
        <v>123</v>
      </c>
      <c r="X218" s="261"/>
      <c r="Y218" s="177">
        <v>41.64</v>
      </c>
      <c r="Z218" s="177" t="s">
        <v>109</v>
      </c>
      <c r="AA218" s="177" t="s">
        <v>109</v>
      </c>
      <c r="AB218" s="177" t="s">
        <v>109</v>
      </c>
      <c r="AC218" s="177">
        <v>1.2</v>
      </c>
      <c r="AD218" s="177" t="s">
        <v>1666</v>
      </c>
      <c r="AE218" s="177" t="s">
        <v>1564</v>
      </c>
      <c r="AF218" s="177">
        <v>1</v>
      </c>
      <c r="AG218" s="177">
        <v>19134</v>
      </c>
      <c r="AH218" s="177" t="s">
        <v>121</v>
      </c>
      <c r="AI218" s="177" t="b">
        <v>1</v>
      </c>
      <c r="AJ218" s="180">
        <v>45084</v>
      </c>
      <c r="AK218" s="177" t="s">
        <v>122</v>
      </c>
      <c r="AL218" s="177">
        <v>2023</v>
      </c>
      <c r="AM218" s="177" t="s">
        <v>109</v>
      </c>
      <c r="AN218" s="177" t="b">
        <v>0</v>
      </c>
      <c r="AO218" s="177" t="s">
        <v>109</v>
      </c>
      <c r="AP218" s="177" t="s">
        <v>109</v>
      </c>
      <c r="AQ218" s="177" t="s">
        <v>109</v>
      </c>
      <c r="AR218" s="177" t="b">
        <v>0</v>
      </c>
      <c r="AS218" s="177" t="s">
        <v>123</v>
      </c>
      <c r="AT218" s="180" t="s">
        <v>123</v>
      </c>
      <c r="AU218" s="177" t="s">
        <v>124</v>
      </c>
      <c r="AV218" s="177" t="s">
        <v>109</v>
      </c>
      <c r="AW218" s="177" t="s">
        <v>226</v>
      </c>
      <c r="AX218" s="177" t="s">
        <v>118</v>
      </c>
      <c r="AY218" s="177" t="s">
        <v>135</v>
      </c>
      <c r="AZ218" s="177" t="s">
        <v>109</v>
      </c>
      <c r="BA218" s="177" t="s">
        <v>218</v>
      </c>
      <c r="BB218" s="177" t="s">
        <v>109</v>
      </c>
      <c r="BC218" s="177" t="s">
        <v>1146</v>
      </c>
      <c r="BD218" s="177" t="s">
        <v>109</v>
      </c>
      <c r="BE218" s="180" t="s">
        <v>1667</v>
      </c>
      <c r="BF218" s="180" t="s">
        <v>227</v>
      </c>
      <c r="BG218" s="180" t="s">
        <v>1668</v>
      </c>
      <c r="BH218" s="177" t="s">
        <v>109</v>
      </c>
      <c r="BI218" s="177" t="s">
        <v>109</v>
      </c>
      <c r="BJ218" s="177" t="b">
        <v>0</v>
      </c>
      <c r="BK218" s="233">
        <v>2143.47649</v>
      </c>
      <c r="BL218" s="234" t="s">
        <v>128</v>
      </c>
      <c r="BM218" s="233">
        <v>2232.5706272775701</v>
      </c>
      <c r="BN218" s="233">
        <v>0</v>
      </c>
      <c r="BO218" s="233">
        <v>0</v>
      </c>
      <c r="BP218" s="233">
        <v>0</v>
      </c>
      <c r="BQ218" s="233">
        <v>369.43473</v>
      </c>
      <c r="BR218" s="233">
        <v>1366.2284999999999</v>
      </c>
      <c r="BS218" s="233">
        <v>139.88404</v>
      </c>
      <c r="BT218" s="233">
        <v>123.280855</v>
      </c>
      <c r="BU218" s="233">
        <v>177.61334690000001</v>
      </c>
      <c r="BV218" s="233">
        <v>56.129155300000001</v>
      </c>
      <c r="BW218" s="233">
        <v>0</v>
      </c>
      <c r="BX218" s="233">
        <v>0</v>
      </c>
      <c r="BY218" s="234">
        <v>1876</v>
      </c>
      <c r="BZ218" s="236" t="s">
        <v>109</v>
      </c>
      <c r="CA218" s="236" t="s">
        <v>109</v>
      </c>
      <c r="CB218" s="236" t="s">
        <v>109</v>
      </c>
      <c r="CC218" s="233">
        <v>0</v>
      </c>
      <c r="CD218" s="233">
        <v>0</v>
      </c>
      <c r="CE218" s="233">
        <v>0</v>
      </c>
      <c r="CF218" s="233">
        <v>0</v>
      </c>
      <c r="CG218" s="233">
        <v>0</v>
      </c>
      <c r="CH218" s="233">
        <v>0</v>
      </c>
      <c r="CI218" s="233">
        <v>0</v>
      </c>
      <c r="CJ218" s="237">
        <v>0</v>
      </c>
      <c r="CK218" s="177" t="s">
        <v>128</v>
      </c>
      <c r="CL218" s="177" t="s">
        <v>128</v>
      </c>
      <c r="CM218" s="155" t="s">
        <v>109</v>
      </c>
      <c r="CN218" s="229">
        <v>0</v>
      </c>
      <c r="CO218" s="229">
        <v>0</v>
      </c>
      <c r="CP218" t="s">
        <v>480</v>
      </c>
      <c r="CR218" s="248"/>
    </row>
    <row r="219" spans="1:96" ht="14.4" x14ac:dyDescent="0.3">
      <c r="A219">
        <v>216</v>
      </c>
      <c r="B219" s="173" t="s">
        <v>1669</v>
      </c>
      <c r="C219" s="259"/>
      <c r="D219" s="260"/>
      <c r="E219" t="s">
        <v>191</v>
      </c>
      <c r="F219" t="s">
        <v>1670</v>
      </c>
      <c r="G219" s="177" t="s">
        <v>233</v>
      </c>
      <c r="H219" s="177" t="s">
        <v>112</v>
      </c>
      <c r="I219" s="177" t="s">
        <v>112</v>
      </c>
      <c r="J219" s="177" t="s">
        <v>109</v>
      </c>
      <c r="K219" s="177" t="s">
        <v>114</v>
      </c>
      <c r="L219" s="177" t="s">
        <v>207</v>
      </c>
      <c r="M219" s="177" t="s">
        <v>109</v>
      </c>
      <c r="N219" s="177" t="s">
        <v>109</v>
      </c>
      <c r="O219" s="180">
        <v>45664</v>
      </c>
      <c r="P219" s="177" t="s">
        <v>109</v>
      </c>
      <c r="Q219" s="177" t="s">
        <v>109</v>
      </c>
      <c r="R219" s="177" t="s">
        <v>109</v>
      </c>
      <c r="S219" s="177" t="s">
        <v>109</v>
      </c>
      <c r="T219" s="177" t="s">
        <v>1671</v>
      </c>
      <c r="U219" s="177" t="s">
        <v>918</v>
      </c>
      <c r="V219" s="177" t="b">
        <v>0</v>
      </c>
      <c r="W219" s="177" t="s">
        <v>109</v>
      </c>
      <c r="X219" s="261"/>
      <c r="Y219" s="177">
        <v>13.33</v>
      </c>
      <c r="Z219" s="177" t="s">
        <v>109</v>
      </c>
      <c r="AA219" s="177" t="s">
        <v>109</v>
      </c>
      <c r="AB219" s="177" t="s">
        <v>109</v>
      </c>
      <c r="AC219" s="177">
        <v>1.2</v>
      </c>
      <c r="AD219" s="177" t="s">
        <v>1672</v>
      </c>
      <c r="AE219" s="177" t="s">
        <v>1564</v>
      </c>
      <c r="AF219" s="177">
        <v>1</v>
      </c>
      <c r="AG219" s="177">
        <v>19134</v>
      </c>
      <c r="AH219" s="177" t="s">
        <v>121</v>
      </c>
      <c r="AI219" s="177" t="b">
        <v>1</v>
      </c>
      <c r="AJ219" s="180" t="s">
        <v>1673</v>
      </c>
      <c r="AK219" s="177" t="s">
        <v>122</v>
      </c>
      <c r="AL219" s="177">
        <v>2019</v>
      </c>
      <c r="AM219" s="177" t="s">
        <v>109</v>
      </c>
      <c r="AN219" s="177" t="b">
        <v>0</v>
      </c>
      <c r="AO219" s="177" t="s">
        <v>109</v>
      </c>
      <c r="AP219" s="177" t="s">
        <v>109</v>
      </c>
      <c r="AQ219" s="177" t="s">
        <v>109</v>
      </c>
      <c r="AR219" s="177" t="b">
        <v>0</v>
      </c>
      <c r="AS219" s="177" t="s">
        <v>123</v>
      </c>
      <c r="AT219" s="180" t="s">
        <v>123</v>
      </c>
      <c r="AU219" s="177" t="s">
        <v>124</v>
      </c>
      <c r="AV219" s="177" t="s">
        <v>109</v>
      </c>
      <c r="AW219" s="177" t="s">
        <v>109</v>
      </c>
      <c r="AX219" s="177" t="s">
        <v>118</v>
      </c>
      <c r="AY219" s="177" t="s">
        <v>135</v>
      </c>
      <c r="AZ219" s="177" t="s">
        <v>109</v>
      </c>
      <c r="BA219" s="177" t="s">
        <v>218</v>
      </c>
      <c r="BB219" s="177" t="s">
        <v>109</v>
      </c>
      <c r="BC219" s="177" t="s">
        <v>126</v>
      </c>
      <c r="BD219" s="177" t="s">
        <v>109</v>
      </c>
      <c r="BE219" s="180" t="s">
        <v>1530</v>
      </c>
      <c r="BF219" s="180" t="s">
        <v>324</v>
      </c>
      <c r="BG219" s="180" t="s">
        <v>601</v>
      </c>
      <c r="BH219" s="177" t="s">
        <v>109</v>
      </c>
      <c r="BI219" s="177" t="s">
        <v>109</v>
      </c>
      <c r="BJ219" s="177" t="b">
        <v>0</v>
      </c>
      <c r="BK219" s="233">
        <v>7336.2691500000001</v>
      </c>
      <c r="BL219" s="234" t="s">
        <v>128</v>
      </c>
      <c r="BM219" s="233">
        <v>1062.4050060100001</v>
      </c>
      <c r="BN219" s="233">
        <v>399.3815515</v>
      </c>
      <c r="BO219" s="233">
        <v>188.26175280000001</v>
      </c>
      <c r="BP219" s="233">
        <v>146.20646439999999</v>
      </c>
      <c r="BQ219" s="233">
        <v>84.700271900000004</v>
      </c>
      <c r="BR219" s="233">
        <v>5.2970240000000004</v>
      </c>
      <c r="BS219" s="233">
        <v>0</v>
      </c>
      <c r="BT219" s="233">
        <v>0</v>
      </c>
      <c r="BU219" s="233">
        <v>0</v>
      </c>
      <c r="BV219" s="233">
        <v>0</v>
      </c>
      <c r="BW219" s="233">
        <v>0</v>
      </c>
      <c r="BX219" s="233">
        <v>0</v>
      </c>
      <c r="BY219" s="234">
        <v>0</v>
      </c>
      <c r="BZ219" s="236" t="s">
        <v>109</v>
      </c>
      <c r="CA219" s="236" t="s">
        <v>109</v>
      </c>
      <c r="CB219" s="236" t="s">
        <v>270</v>
      </c>
      <c r="CC219" s="233">
        <v>0</v>
      </c>
      <c r="CD219" s="233">
        <v>0</v>
      </c>
      <c r="CE219" s="233">
        <v>972.40771010000003</v>
      </c>
      <c r="CF219" s="233">
        <v>84.700271900000004</v>
      </c>
      <c r="CG219" s="233">
        <v>5.2970240000000004</v>
      </c>
      <c r="CH219" s="233">
        <v>0</v>
      </c>
      <c r="CI219" s="233">
        <v>0</v>
      </c>
      <c r="CJ219" s="237">
        <v>0</v>
      </c>
      <c r="CK219" s="177" t="s">
        <v>128</v>
      </c>
      <c r="CL219" s="177" t="s">
        <v>128</v>
      </c>
      <c r="CM219" s="155" t="s">
        <v>109</v>
      </c>
      <c r="CN219" s="229">
        <v>0</v>
      </c>
      <c r="CO219" s="229">
        <v>0</v>
      </c>
      <c r="CP219" t="s">
        <v>480</v>
      </c>
      <c r="CR219" s="248"/>
    </row>
    <row r="220" spans="1:96" ht="14.4" x14ac:dyDescent="0.3">
      <c r="A220">
        <v>217</v>
      </c>
      <c r="B220" s="173" t="s">
        <v>1674</v>
      </c>
      <c r="C220" s="259"/>
      <c r="D220" s="260"/>
      <c r="E220" t="s">
        <v>1675</v>
      </c>
      <c r="F220" t="s">
        <v>1676</v>
      </c>
      <c r="G220" s="177" t="s">
        <v>233</v>
      </c>
      <c r="H220" s="177" t="s">
        <v>112</v>
      </c>
      <c r="I220" s="177" t="s">
        <v>112</v>
      </c>
      <c r="J220" s="177" t="s">
        <v>109</v>
      </c>
      <c r="K220" s="177" t="s">
        <v>114</v>
      </c>
      <c r="L220" s="177" t="s">
        <v>207</v>
      </c>
      <c r="M220" s="177" t="s">
        <v>109</v>
      </c>
      <c r="N220" s="177" t="s">
        <v>109</v>
      </c>
      <c r="O220" s="180">
        <v>45692</v>
      </c>
      <c r="P220" s="177" t="s">
        <v>1677</v>
      </c>
      <c r="Q220" s="177" t="s">
        <v>109</v>
      </c>
      <c r="R220" s="177" t="s">
        <v>109</v>
      </c>
      <c r="S220" s="177" t="s">
        <v>109</v>
      </c>
      <c r="T220" s="177" t="s">
        <v>1671</v>
      </c>
      <c r="U220" s="177" t="s">
        <v>918</v>
      </c>
      <c r="V220" s="177" t="b">
        <v>0</v>
      </c>
      <c r="W220" s="177" t="s">
        <v>123</v>
      </c>
      <c r="X220" s="261"/>
      <c r="Y220" s="177">
        <v>11.86</v>
      </c>
      <c r="Z220" s="177" t="s">
        <v>109</v>
      </c>
      <c r="AA220" s="177" t="s">
        <v>109</v>
      </c>
      <c r="AB220" s="177" t="s">
        <v>109</v>
      </c>
      <c r="AC220" s="177">
        <v>1.2</v>
      </c>
      <c r="AD220" s="177" t="s">
        <v>1678</v>
      </c>
      <c r="AE220" s="177" t="s">
        <v>1564</v>
      </c>
      <c r="AF220" s="177">
        <v>1</v>
      </c>
      <c r="AG220" s="177">
        <v>19134</v>
      </c>
      <c r="AH220" s="177" t="s">
        <v>121</v>
      </c>
      <c r="AI220" s="177" t="b">
        <v>1</v>
      </c>
      <c r="AJ220" s="180" t="s">
        <v>1679</v>
      </c>
      <c r="AK220" s="177" t="s">
        <v>122</v>
      </c>
      <c r="AL220" s="177">
        <v>2020</v>
      </c>
      <c r="AM220" s="177" t="s">
        <v>109</v>
      </c>
      <c r="AN220" s="177" t="b">
        <v>0</v>
      </c>
      <c r="AO220" s="177" t="s">
        <v>109</v>
      </c>
      <c r="AP220" s="177" t="s">
        <v>109</v>
      </c>
      <c r="AQ220" s="177" t="s">
        <v>109</v>
      </c>
      <c r="AR220" s="177" t="b">
        <v>0</v>
      </c>
      <c r="AS220" s="177" t="s">
        <v>123</v>
      </c>
      <c r="AT220" s="180" t="s">
        <v>123</v>
      </c>
      <c r="AU220" s="177" t="s">
        <v>124</v>
      </c>
      <c r="AV220" s="177" t="s">
        <v>109</v>
      </c>
      <c r="AW220" s="177" t="s">
        <v>226</v>
      </c>
      <c r="AX220" s="177" t="s">
        <v>118</v>
      </c>
      <c r="AY220" s="177" t="s">
        <v>135</v>
      </c>
      <c r="AZ220" s="177" t="s">
        <v>109</v>
      </c>
      <c r="BA220" s="177" t="s">
        <v>218</v>
      </c>
      <c r="BB220" s="177" t="s">
        <v>109</v>
      </c>
      <c r="BC220" s="177" t="s">
        <v>425</v>
      </c>
      <c r="BD220" s="177" t="s">
        <v>109</v>
      </c>
      <c r="BE220" s="180" t="s">
        <v>109</v>
      </c>
      <c r="BF220" s="180" t="s">
        <v>1680</v>
      </c>
      <c r="BG220" s="180" t="s">
        <v>1681</v>
      </c>
      <c r="BH220" s="177" t="s">
        <v>109</v>
      </c>
      <c r="BI220" s="177" t="s">
        <v>109</v>
      </c>
      <c r="BJ220" s="177" t="b">
        <v>1</v>
      </c>
      <c r="BK220" s="233">
        <v>4223.5162799999998</v>
      </c>
      <c r="BL220" s="234" t="s">
        <v>128</v>
      </c>
      <c r="BM220" s="233">
        <v>2977.6462939236299</v>
      </c>
      <c r="BN220" s="233">
        <v>4.9781038000000004</v>
      </c>
      <c r="BO220" s="233">
        <v>50.310969700000001</v>
      </c>
      <c r="BP220" s="233">
        <v>288.64272130000001</v>
      </c>
      <c r="BQ220" s="233">
        <v>409.45439800000003</v>
      </c>
      <c r="BR220" s="233">
        <v>1893.430194</v>
      </c>
      <c r="BS220" s="233">
        <v>192.24746200000001</v>
      </c>
      <c r="BT220" s="233">
        <v>138.5824452</v>
      </c>
      <c r="BU220" s="233">
        <v>0</v>
      </c>
      <c r="BV220" s="233">
        <v>0</v>
      </c>
      <c r="BW220" s="233">
        <v>0</v>
      </c>
      <c r="BX220" s="233">
        <v>0</v>
      </c>
      <c r="BY220" s="234">
        <v>2839</v>
      </c>
      <c r="BZ220" s="236" t="s">
        <v>109</v>
      </c>
      <c r="CA220" s="236" t="s">
        <v>109</v>
      </c>
      <c r="CB220" s="236">
        <v>2025</v>
      </c>
      <c r="CC220" s="233">
        <v>0</v>
      </c>
      <c r="CD220" s="233">
        <v>0</v>
      </c>
      <c r="CE220" s="233">
        <v>0</v>
      </c>
      <c r="CF220" s="233">
        <v>0</v>
      </c>
      <c r="CG220" s="233">
        <v>0</v>
      </c>
      <c r="CH220" s="233">
        <v>0</v>
      </c>
      <c r="CI220" s="233">
        <v>2977.6462940000001</v>
      </c>
      <c r="CJ220" s="237">
        <v>0</v>
      </c>
      <c r="CK220" s="177" t="s">
        <v>128</v>
      </c>
      <c r="CL220" s="177" t="s">
        <v>128</v>
      </c>
      <c r="CM220" s="155" t="s">
        <v>109</v>
      </c>
      <c r="CN220" s="229">
        <v>0</v>
      </c>
      <c r="CO220" s="229">
        <v>0</v>
      </c>
      <c r="CP220" t="s">
        <v>449</v>
      </c>
      <c r="CR220" s="248"/>
    </row>
    <row r="221" spans="1:96" ht="57.6" x14ac:dyDescent="0.3">
      <c r="A221">
        <v>218</v>
      </c>
      <c r="B221" s="173" t="s">
        <v>1682</v>
      </c>
      <c r="C221" s="259"/>
      <c r="D221" s="260"/>
      <c r="E221" t="s">
        <v>191</v>
      </c>
      <c r="F221" t="s">
        <v>1683</v>
      </c>
      <c r="G221" s="177" t="s">
        <v>111</v>
      </c>
      <c r="H221" s="177" t="s">
        <v>112</v>
      </c>
      <c r="I221" s="177" t="s">
        <v>112</v>
      </c>
      <c r="J221" s="177" t="s">
        <v>109</v>
      </c>
      <c r="K221" s="177" t="s">
        <v>192</v>
      </c>
      <c r="L221" s="177" t="s">
        <v>193</v>
      </c>
      <c r="M221" s="177" t="s">
        <v>194</v>
      </c>
      <c r="N221" s="177" t="s">
        <v>194</v>
      </c>
      <c r="O221" s="180">
        <v>45762</v>
      </c>
      <c r="P221" s="177" t="s">
        <v>109</v>
      </c>
      <c r="Q221" s="177" t="s">
        <v>109</v>
      </c>
      <c r="R221" s="177" t="s">
        <v>109</v>
      </c>
      <c r="S221" s="177" t="s">
        <v>109</v>
      </c>
      <c r="T221" s="177" t="s">
        <v>982</v>
      </c>
      <c r="U221" s="177" t="s">
        <v>117</v>
      </c>
      <c r="V221" s="177" t="b">
        <v>0</v>
      </c>
      <c r="W221" s="177" t="s">
        <v>109</v>
      </c>
      <c r="X221" s="261"/>
      <c r="Y221" s="177">
        <v>9</v>
      </c>
      <c r="Z221" s="177" t="s">
        <v>118</v>
      </c>
      <c r="AA221" s="177" t="s">
        <v>215</v>
      </c>
      <c r="AB221" s="177" t="s">
        <v>109</v>
      </c>
      <c r="AC221" s="177">
        <v>1.2</v>
      </c>
      <c r="AD221" s="177" t="s">
        <v>1684</v>
      </c>
      <c r="AE221" s="177" t="s">
        <v>1564</v>
      </c>
      <c r="AF221" s="177">
        <v>1</v>
      </c>
      <c r="AG221" s="177">
        <v>19134</v>
      </c>
      <c r="AH221" s="177" t="s">
        <v>121</v>
      </c>
      <c r="AI221" s="177" t="b">
        <v>1</v>
      </c>
      <c r="AJ221" s="180">
        <v>44909</v>
      </c>
      <c r="AK221" s="177" t="s">
        <v>122</v>
      </c>
      <c r="AL221" s="177">
        <v>2023</v>
      </c>
      <c r="AM221" s="177" t="s">
        <v>109</v>
      </c>
      <c r="AN221" s="179" t="b">
        <v>0</v>
      </c>
      <c r="AO221" s="177" t="s">
        <v>109</v>
      </c>
      <c r="AP221" s="177" t="s">
        <v>109</v>
      </c>
      <c r="AQ221" s="177" t="s">
        <v>109</v>
      </c>
      <c r="AR221" s="177" t="b">
        <v>0</v>
      </c>
      <c r="AS221" s="177" t="s">
        <v>123</v>
      </c>
      <c r="AT221" s="180" t="s">
        <v>109</v>
      </c>
      <c r="AU221" s="177" t="s">
        <v>124</v>
      </c>
      <c r="AV221" s="177" t="s">
        <v>109</v>
      </c>
      <c r="AW221" s="177" t="s">
        <v>195</v>
      </c>
      <c r="AX221" s="177" t="s">
        <v>109</v>
      </c>
      <c r="AY221" s="177" t="s">
        <v>135</v>
      </c>
      <c r="AZ221" s="177" t="s">
        <v>109</v>
      </c>
      <c r="BA221" s="177" t="s">
        <v>218</v>
      </c>
      <c r="BB221" s="177" t="s">
        <v>109</v>
      </c>
      <c r="BC221" s="177" t="s">
        <v>397</v>
      </c>
      <c r="BD221" s="177" t="s">
        <v>109</v>
      </c>
      <c r="BE221" s="180" t="s">
        <v>109</v>
      </c>
      <c r="BF221" s="180" t="s">
        <v>109</v>
      </c>
      <c r="BG221" s="180" t="s">
        <v>109</v>
      </c>
      <c r="BH221" s="177" t="s">
        <v>109</v>
      </c>
      <c r="BI221" s="177" t="s">
        <v>109</v>
      </c>
      <c r="BJ221" s="177" t="b">
        <v>1</v>
      </c>
      <c r="BK221" s="233">
        <v>1590.7567899999999</v>
      </c>
      <c r="BL221" s="234" t="s">
        <v>128</v>
      </c>
      <c r="BM221" s="236">
        <v>1686.6487553581301</v>
      </c>
      <c r="BN221" s="236">
        <v>0</v>
      </c>
      <c r="BO221" s="236">
        <v>0</v>
      </c>
      <c r="BP221" s="236">
        <v>0</v>
      </c>
      <c r="BQ221" s="236">
        <v>61.1033963</v>
      </c>
      <c r="BR221" s="236">
        <v>1344.3692599999999</v>
      </c>
      <c r="BS221" s="236">
        <v>43.89011</v>
      </c>
      <c r="BT221" s="236">
        <v>99.351522299999999</v>
      </c>
      <c r="BU221" s="236">
        <v>137.9344667</v>
      </c>
      <c r="BV221" s="236">
        <v>0</v>
      </c>
      <c r="BW221" s="236">
        <v>0</v>
      </c>
      <c r="BX221" s="236">
        <v>0</v>
      </c>
      <c r="BY221" s="234">
        <v>1449</v>
      </c>
      <c r="BZ221" s="236" t="s">
        <v>109</v>
      </c>
      <c r="CA221" s="236" t="s">
        <v>109</v>
      </c>
      <c r="CB221" s="236">
        <v>2025</v>
      </c>
      <c r="CC221" s="236">
        <v>0</v>
      </c>
      <c r="CD221" s="236">
        <v>0</v>
      </c>
      <c r="CE221" s="236">
        <v>0</v>
      </c>
      <c r="CF221" s="236">
        <v>0</v>
      </c>
      <c r="CG221" s="236">
        <v>0</v>
      </c>
      <c r="CH221" s="236">
        <v>0</v>
      </c>
      <c r="CI221" s="236">
        <v>-0.61680369999999995</v>
      </c>
      <c r="CJ221" s="177" t="s">
        <v>128</v>
      </c>
      <c r="CK221" s="177" t="s">
        <v>128</v>
      </c>
      <c r="CL221" s="177" t="s">
        <v>128</v>
      </c>
      <c r="CM221" s="155" t="s">
        <v>109</v>
      </c>
      <c r="CN221" s="229">
        <v>0</v>
      </c>
      <c r="CO221" s="229">
        <v>1</v>
      </c>
      <c r="CP221" s="138" t="s">
        <v>1685</v>
      </c>
      <c r="CR221" s="248"/>
    </row>
    <row r="222" spans="1:96" ht="14.4" x14ac:dyDescent="0.3">
      <c r="A222">
        <v>219</v>
      </c>
      <c r="B222" s="173" t="s">
        <v>1686</v>
      </c>
      <c r="C222" s="259"/>
      <c r="D222" s="260"/>
      <c r="E222" t="s">
        <v>483</v>
      </c>
      <c r="F222" t="s">
        <v>1687</v>
      </c>
      <c r="G222" s="177" t="s">
        <v>111</v>
      </c>
      <c r="H222" s="177" t="s">
        <v>112</v>
      </c>
      <c r="I222" s="177" t="s">
        <v>112</v>
      </c>
      <c r="J222" s="177" t="s">
        <v>109</v>
      </c>
      <c r="K222" s="177" t="s">
        <v>114</v>
      </c>
      <c r="L222" s="177" t="s">
        <v>193</v>
      </c>
      <c r="M222" s="177" t="s">
        <v>194</v>
      </c>
      <c r="N222" s="177" t="s">
        <v>194</v>
      </c>
      <c r="O222" s="180">
        <v>45687</v>
      </c>
      <c r="P222" s="177" t="s">
        <v>109</v>
      </c>
      <c r="Q222" s="177" t="s">
        <v>109</v>
      </c>
      <c r="R222" s="177" t="s">
        <v>109</v>
      </c>
      <c r="S222" s="177" t="s">
        <v>109</v>
      </c>
      <c r="T222" s="177" t="s">
        <v>116</v>
      </c>
      <c r="U222" s="177" t="s">
        <v>117</v>
      </c>
      <c r="V222" s="177" t="b">
        <v>0</v>
      </c>
      <c r="W222" s="177" t="s">
        <v>109</v>
      </c>
      <c r="X222" s="261"/>
      <c r="Y222" s="177">
        <v>9.51</v>
      </c>
      <c r="Z222" s="177" t="s">
        <v>118</v>
      </c>
      <c r="AA222" s="177" t="s">
        <v>215</v>
      </c>
      <c r="AB222" s="177" t="s">
        <v>109</v>
      </c>
      <c r="AC222" s="177">
        <v>1.2</v>
      </c>
      <c r="AD222" s="177" t="s">
        <v>1688</v>
      </c>
      <c r="AE222" s="177" t="s">
        <v>1564</v>
      </c>
      <c r="AF222" s="177">
        <v>1</v>
      </c>
      <c r="AG222" s="177">
        <v>19134</v>
      </c>
      <c r="AH222" s="177" t="s">
        <v>121</v>
      </c>
      <c r="AI222" s="177" t="b">
        <v>1</v>
      </c>
      <c r="AJ222" s="180">
        <v>44616</v>
      </c>
      <c r="AK222" s="177" t="s">
        <v>122</v>
      </c>
      <c r="AL222" s="177">
        <v>2022</v>
      </c>
      <c r="AM222" s="177" t="s">
        <v>109</v>
      </c>
      <c r="AN222" s="179" t="b">
        <v>0</v>
      </c>
      <c r="AO222" s="177" t="s">
        <v>109</v>
      </c>
      <c r="AP222" s="177" t="s">
        <v>109</v>
      </c>
      <c r="AQ222" s="177" t="s">
        <v>109</v>
      </c>
      <c r="AR222" s="177" t="b">
        <v>0</v>
      </c>
      <c r="AS222" s="177" t="s">
        <v>123</v>
      </c>
      <c r="AT222" s="180" t="s">
        <v>109</v>
      </c>
      <c r="AU222" s="177" t="s">
        <v>124</v>
      </c>
      <c r="AV222" s="177" t="s">
        <v>109</v>
      </c>
      <c r="AW222" s="177" t="s">
        <v>195</v>
      </c>
      <c r="AX222" s="177" t="s">
        <v>109</v>
      </c>
      <c r="AY222" s="177" t="s">
        <v>135</v>
      </c>
      <c r="AZ222" s="177" t="s">
        <v>109</v>
      </c>
      <c r="BA222" s="177" t="s">
        <v>218</v>
      </c>
      <c r="BB222" s="177" t="s">
        <v>109</v>
      </c>
      <c r="BC222" s="177" t="s">
        <v>296</v>
      </c>
      <c r="BD222" s="177" t="s">
        <v>109</v>
      </c>
      <c r="BE222" s="180">
        <v>45574</v>
      </c>
      <c r="BF222" s="180">
        <v>45495</v>
      </c>
      <c r="BG222" s="180" t="s">
        <v>1689</v>
      </c>
      <c r="BH222" s="177" t="s">
        <v>109</v>
      </c>
      <c r="BI222" s="177" t="s">
        <v>109</v>
      </c>
      <c r="BJ222" s="177" t="b">
        <v>1</v>
      </c>
      <c r="BK222" s="233">
        <v>5767.7932099999998</v>
      </c>
      <c r="BL222" s="234" t="s">
        <v>128</v>
      </c>
      <c r="BM222" s="236">
        <v>3275.16329822544</v>
      </c>
      <c r="BN222" s="236">
        <v>0</v>
      </c>
      <c r="BO222" s="236">
        <v>0</v>
      </c>
      <c r="BP222" s="236">
        <v>62.696709300000002</v>
      </c>
      <c r="BQ222" s="236">
        <v>350.13123739999997</v>
      </c>
      <c r="BR222" s="236">
        <v>2320.4702339999999</v>
      </c>
      <c r="BS222" s="236">
        <v>433.03570400000001</v>
      </c>
      <c r="BT222" s="236">
        <v>108.8294135</v>
      </c>
      <c r="BU222" s="236">
        <v>0</v>
      </c>
      <c r="BV222" s="236">
        <v>0</v>
      </c>
      <c r="BW222" s="236">
        <v>0</v>
      </c>
      <c r="BX222" s="236">
        <v>0</v>
      </c>
      <c r="BY222" s="234">
        <v>3166</v>
      </c>
      <c r="BZ222" s="236" t="s">
        <v>109</v>
      </c>
      <c r="CA222" s="236" t="s">
        <v>109</v>
      </c>
      <c r="CB222" s="236">
        <v>2025</v>
      </c>
      <c r="CC222" s="236">
        <v>0</v>
      </c>
      <c r="CD222" s="236">
        <v>0</v>
      </c>
      <c r="CE222" s="236">
        <v>0</v>
      </c>
      <c r="CF222" s="236">
        <v>0</v>
      </c>
      <c r="CG222" s="236">
        <v>0</v>
      </c>
      <c r="CH222" s="236">
        <v>0</v>
      </c>
      <c r="CI222" s="236">
        <v>3275.1632982000001</v>
      </c>
      <c r="CJ222" s="177" t="s">
        <v>128</v>
      </c>
      <c r="CK222" s="177" t="s">
        <v>128</v>
      </c>
      <c r="CL222" s="177" t="s">
        <v>128</v>
      </c>
      <c r="CM222" s="155" t="s">
        <v>109</v>
      </c>
      <c r="CN222" s="229">
        <v>0</v>
      </c>
      <c r="CO222" s="229">
        <v>1</v>
      </c>
      <c r="CP222" t="s">
        <v>480</v>
      </c>
      <c r="CR222" s="248"/>
    </row>
    <row r="223" spans="1:96" ht="14.4" x14ac:dyDescent="0.3">
      <c r="A223">
        <v>220</v>
      </c>
      <c r="B223" s="173" t="s">
        <v>1690</v>
      </c>
      <c r="C223" s="259"/>
      <c r="D223" s="260"/>
      <c r="E223" t="s">
        <v>483</v>
      </c>
      <c r="F223" t="s">
        <v>1691</v>
      </c>
      <c r="G223" s="177" t="s">
        <v>111</v>
      </c>
      <c r="H223" s="177" t="s">
        <v>112</v>
      </c>
      <c r="I223" s="177" t="s">
        <v>112</v>
      </c>
      <c r="J223" s="177" t="s">
        <v>109</v>
      </c>
      <c r="K223" s="177" t="s">
        <v>114</v>
      </c>
      <c r="L223" s="177" t="s">
        <v>193</v>
      </c>
      <c r="M223" s="177" t="s">
        <v>109</v>
      </c>
      <c r="N223" s="177" t="s">
        <v>109</v>
      </c>
      <c r="O223" s="180">
        <v>45687</v>
      </c>
      <c r="P223" s="177" t="s">
        <v>109</v>
      </c>
      <c r="Q223" s="177" t="s">
        <v>109</v>
      </c>
      <c r="R223" s="177" t="s">
        <v>109</v>
      </c>
      <c r="S223" s="177" t="s">
        <v>109</v>
      </c>
      <c r="T223" s="177" t="s">
        <v>116</v>
      </c>
      <c r="U223" s="177" t="s">
        <v>117</v>
      </c>
      <c r="V223" s="177" t="b">
        <v>0</v>
      </c>
      <c r="W223" s="177" t="s">
        <v>109</v>
      </c>
      <c r="X223" s="261"/>
      <c r="Y223" s="177">
        <v>9.51</v>
      </c>
      <c r="Z223" s="177" t="s">
        <v>118</v>
      </c>
      <c r="AA223" s="177" t="s">
        <v>215</v>
      </c>
      <c r="AB223" s="177" t="s">
        <v>109</v>
      </c>
      <c r="AC223" s="177">
        <v>1.2</v>
      </c>
      <c r="AD223" s="177" t="s">
        <v>1692</v>
      </c>
      <c r="AE223" s="177" t="s">
        <v>1564</v>
      </c>
      <c r="AF223" s="177">
        <v>1</v>
      </c>
      <c r="AG223" s="177">
        <v>19134</v>
      </c>
      <c r="AH223" s="177" t="s">
        <v>121</v>
      </c>
      <c r="AI223" s="177" t="b">
        <v>1</v>
      </c>
      <c r="AJ223" s="180" t="s">
        <v>1693</v>
      </c>
      <c r="AK223" s="177" t="s">
        <v>122</v>
      </c>
      <c r="AL223" s="177">
        <v>2023</v>
      </c>
      <c r="AM223" s="177" t="s">
        <v>109</v>
      </c>
      <c r="AN223" s="179" t="b">
        <v>0</v>
      </c>
      <c r="AO223" s="177" t="s">
        <v>109</v>
      </c>
      <c r="AP223" s="177" t="s">
        <v>109</v>
      </c>
      <c r="AQ223" s="177" t="s">
        <v>109</v>
      </c>
      <c r="AR223" s="177" t="b">
        <v>0</v>
      </c>
      <c r="AS223" s="177" t="s">
        <v>123</v>
      </c>
      <c r="AT223" s="180" t="s">
        <v>109</v>
      </c>
      <c r="AU223" s="177" t="s">
        <v>124</v>
      </c>
      <c r="AV223" s="177" t="s">
        <v>109</v>
      </c>
      <c r="AW223" s="177" t="s">
        <v>195</v>
      </c>
      <c r="AX223" s="177" t="s">
        <v>109</v>
      </c>
      <c r="AY223" s="177" t="s">
        <v>135</v>
      </c>
      <c r="AZ223" s="177" t="s">
        <v>109</v>
      </c>
      <c r="BA223" s="177" t="s">
        <v>218</v>
      </c>
      <c r="BB223" s="177" t="s">
        <v>109</v>
      </c>
      <c r="BC223" s="177" t="s">
        <v>296</v>
      </c>
      <c r="BD223" s="177" t="s">
        <v>109</v>
      </c>
      <c r="BE223" s="180">
        <v>45523</v>
      </c>
      <c r="BF223" s="180">
        <v>44905</v>
      </c>
      <c r="BG223" s="180" t="s">
        <v>1694</v>
      </c>
      <c r="BH223" s="177" t="s">
        <v>109</v>
      </c>
      <c r="BI223" s="177" t="s">
        <v>109</v>
      </c>
      <c r="BJ223" s="177" t="b">
        <v>1</v>
      </c>
      <c r="BK223" s="233">
        <v>5814.2996300000004</v>
      </c>
      <c r="BL223" s="234" t="s">
        <v>128</v>
      </c>
      <c r="BM223" s="236">
        <v>4213.3338530206502</v>
      </c>
      <c r="BN223" s="236">
        <v>0</v>
      </c>
      <c r="BO223" s="236">
        <v>0</v>
      </c>
      <c r="BP223" s="236">
        <v>100.657135</v>
      </c>
      <c r="BQ223" s="236">
        <v>332.94385210000002</v>
      </c>
      <c r="BR223" s="236">
        <v>2833.0909919999999</v>
      </c>
      <c r="BS223" s="236">
        <v>774.18267000000003</v>
      </c>
      <c r="BT223" s="236">
        <v>161.63731329999999</v>
      </c>
      <c r="BU223" s="236">
        <v>10.8218906</v>
      </c>
      <c r="BV223" s="236">
        <v>0</v>
      </c>
      <c r="BW223" s="236">
        <v>0</v>
      </c>
      <c r="BX223" s="236">
        <v>0</v>
      </c>
      <c r="BY223" s="234">
        <v>2482.7034877000001</v>
      </c>
      <c r="BZ223" s="236" t="s">
        <v>109</v>
      </c>
      <c r="CA223" s="236" t="s">
        <v>109</v>
      </c>
      <c r="CB223" s="236">
        <v>2025</v>
      </c>
      <c r="CC223" s="236">
        <v>0</v>
      </c>
      <c r="CD223" s="236">
        <v>0</v>
      </c>
      <c r="CE223" s="236">
        <v>0</v>
      </c>
      <c r="CF223" s="236">
        <v>0</v>
      </c>
      <c r="CG223" s="236">
        <v>0</v>
      </c>
      <c r="CH223" s="236">
        <v>1558.1711614000001</v>
      </c>
      <c r="CI223" s="236">
        <v>0</v>
      </c>
      <c r="CJ223" s="177" t="s">
        <v>128</v>
      </c>
      <c r="CK223" s="177" t="s">
        <v>128</v>
      </c>
      <c r="CL223" s="177" t="s">
        <v>128</v>
      </c>
      <c r="CM223" s="155" t="s">
        <v>109</v>
      </c>
      <c r="CN223" s="229">
        <v>0</v>
      </c>
      <c r="CO223" s="229">
        <v>1</v>
      </c>
      <c r="CP223" t="s">
        <v>1695</v>
      </c>
      <c r="CR223" s="248"/>
    </row>
    <row r="224" spans="1:96" ht="14.4" x14ac:dyDescent="0.3">
      <c r="A224">
        <v>221</v>
      </c>
      <c r="B224" s="173" t="s">
        <v>1696</v>
      </c>
      <c r="C224" s="259"/>
      <c r="D224" s="260"/>
      <c r="E224" t="s">
        <v>1697</v>
      </c>
      <c r="F224" t="s">
        <v>1698</v>
      </c>
      <c r="G224" s="177" t="s">
        <v>111</v>
      </c>
      <c r="H224" s="177" t="s">
        <v>112</v>
      </c>
      <c r="I224" s="177" t="s">
        <v>112</v>
      </c>
      <c r="J224" s="177" t="s">
        <v>109</v>
      </c>
      <c r="K224" s="177" t="s">
        <v>114</v>
      </c>
      <c r="L224" s="177" t="s">
        <v>193</v>
      </c>
      <c r="M224" s="177" t="s">
        <v>109</v>
      </c>
      <c r="N224" s="177" t="s">
        <v>109</v>
      </c>
      <c r="O224" s="180">
        <v>45692</v>
      </c>
      <c r="P224" s="177" t="s">
        <v>109</v>
      </c>
      <c r="Q224" s="177" t="s">
        <v>109</v>
      </c>
      <c r="R224" s="177" t="s">
        <v>109</v>
      </c>
      <c r="S224" s="177" t="s">
        <v>109</v>
      </c>
      <c r="T224" s="177" t="s">
        <v>223</v>
      </c>
      <c r="U224" s="177" t="s">
        <v>117</v>
      </c>
      <c r="V224" s="177" t="b">
        <v>0</v>
      </c>
      <c r="W224" s="177" t="s">
        <v>109</v>
      </c>
      <c r="X224" s="261"/>
      <c r="Y224" s="177" t="s">
        <v>1699</v>
      </c>
      <c r="Z224" s="177" t="s">
        <v>118</v>
      </c>
      <c r="AA224" s="177" t="s">
        <v>373</v>
      </c>
      <c r="AB224" s="177" t="s">
        <v>109</v>
      </c>
      <c r="AC224" s="177">
        <v>1.2</v>
      </c>
      <c r="AD224" s="177" t="s">
        <v>1700</v>
      </c>
      <c r="AE224" s="177" t="s">
        <v>1564</v>
      </c>
      <c r="AF224" s="177">
        <v>1</v>
      </c>
      <c r="AG224" s="177">
        <v>19134</v>
      </c>
      <c r="AH224" s="177" t="s">
        <v>121</v>
      </c>
      <c r="AI224" s="177" t="b">
        <v>1</v>
      </c>
      <c r="AJ224" s="180" t="s">
        <v>1701</v>
      </c>
      <c r="AK224" s="177" t="s">
        <v>122</v>
      </c>
      <c r="AL224" s="177">
        <v>2019</v>
      </c>
      <c r="AM224" s="177" t="s">
        <v>109</v>
      </c>
      <c r="AN224" s="179" t="b">
        <v>0</v>
      </c>
      <c r="AO224" s="177" t="s">
        <v>109</v>
      </c>
      <c r="AP224" s="177" t="s">
        <v>109</v>
      </c>
      <c r="AQ224" s="177" t="s">
        <v>109</v>
      </c>
      <c r="AR224" s="177" t="b">
        <v>0</v>
      </c>
      <c r="AS224" s="177" t="s">
        <v>123</v>
      </c>
      <c r="AT224" s="180" t="s">
        <v>109</v>
      </c>
      <c r="AU224" s="177" t="s">
        <v>124</v>
      </c>
      <c r="AV224" s="177" t="s">
        <v>109</v>
      </c>
      <c r="AW224" s="177" t="s">
        <v>195</v>
      </c>
      <c r="AX224" s="177" t="s">
        <v>109</v>
      </c>
      <c r="AY224" s="177" t="s">
        <v>135</v>
      </c>
      <c r="AZ224" s="177" t="s">
        <v>109</v>
      </c>
      <c r="BA224" s="177" t="s">
        <v>218</v>
      </c>
      <c r="BB224" s="177" t="s">
        <v>109</v>
      </c>
      <c r="BC224" s="177" t="s">
        <v>425</v>
      </c>
      <c r="BD224" s="177" t="s">
        <v>109</v>
      </c>
      <c r="BE224" s="181" t="s">
        <v>1702</v>
      </c>
      <c r="BF224" s="180">
        <v>45627</v>
      </c>
      <c r="BG224" s="180" t="s">
        <v>1703</v>
      </c>
      <c r="BH224" s="177" t="s">
        <v>109</v>
      </c>
      <c r="BI224" s="177" t="s">
        <v>109</v>
      </c>
      <c r="BJ224" s="177" t="b">
        <v>1</v>
      </c>
      <c r="BK224" s="233">
        <v>4090.0859999999998</v>
      </c>
      <c r="BL224" s="234" t="s">
        <v>128</v>
      </c>
      <c r="BM224" s="236">
        <v>5920.4059091922099</v>
      </c>
      <c r="BN224" s="236">
        <v>76.168523699999994</v>
      </c>
      <c r="BO224" s="236">
        <v>151.11807089999999</v>
      </c>
      <c r="BP224" s="236">
        <v>184.75594319999999</v>
      </c>
      <c r="BQ224" s="236">
        <v>284.81583039999998</v>
      </c>
      <c r="BR224" s="236">
        <v>4214.9809560000003</v>
      </c>
      <c r="BS224" s="236">
        <v>317.251892</v>
      </c>
      <c r="BT224" s="236">
        <v>368.6741116</v>
      </c>
      <c r="BU224" s="236">
        <v>197.28750980000001</v>
      </c>
      <c r="BV224" s="236">
        <v>0</v>
      </c>
      <c r="BW224" s="236">
        <v>0</v>
      </c>
      <c r="BX224" s="236">
        <v>0</v>
      </c>
      <c r="BY224" s="234">
        <v>5354.4442877922093</v>
      </c>
      <c r="BZ224" s="236" t="s">
        <v>109</v>
      </c>
      <c r="CA224" s="236" t="s">
        <v>109</v>
      </c>
      <c r="CB224" s="236" t="s">
        <v>196</v>
      </c>
      <c r="CC224" s="236">
        <v>0</v>
      </c>
      <c r="CD224" s="236">
        <v>0</v>
      </c>
      <c r="CE224" s="236">
        <v>0</v>
      </c>
      <c r="CF224" s="236">
        <v>0</v>
      </c>
      <c r="CG224" s="236">
        <v>-11.9630042</v>
      </c>
      <c r="CH224" s="236">
        <v>-10.525207999999999</v>
      </c>
      <c r="CI224" s="236">
        <v>0</v>
      </c>
      <c r="CJ224" s="177" t="s">
        <v>128</v>
      </c>
      <c r="CK224" s="177" t="s">
        <v>128</v>
      </c>
      <c r="CL224" s="177" t="s">
        <v>128</v>
      </c>
      <c r="CM224" s="155" t="s">
        <v>109</v>
      </c>
      <c r="CN224" s="229">
        <v>0</v>
      </c>
      <c r="CO224" s="229">
        <v>1</v>
      </c>
      <c r="CP224" t="s">
        <v>449</v>
      </c>
      <c r="CR224" s="248"/>
    </row>
    <row r="225" spans="1:96" ht="14.4" x14ac:dyDescent="0.3">
      <c r="A225">
        <v>222</v>
      </c>
      <c r="B225" s="173" t="s">
        <v>1705</v>
      </c>
      <c r="C225" s="259"/>
      <c r="D225" s="260"/>
      <c r="E225" t="s">
        <v>109</v>
      </c>
      <c r="F225" t="s">
        <v>1706</v>
      </c>
      <c r="G225" s="177" t="s">
        <v>233</v>
      </c>
      <c r="H225" s="177" t="s">
        <v>113</v>
      </c>
      <c r="I225" s="177" t="s">
        <v>109</v>
      </c>
      <c r="J225" s="177" t="s">
        <v>109</v>
      </c>
      <c r="K225" s="177" t="s">
        <v>662</v>
      </c>
      <c r="L225" s="177" t="s">
        <v>1158</v>
      </c>
      <c r="M225" s="177" t="s">
        <v>109</v>
      </c>
      <c r="N225" s="177" t="s">
        <v>109</v>
      </c>
      <c r="O225" s="180" t="s">
        <v>109</v>
      </c>
      <c r="P225" s="177" t="s">
        <v>109</v>
      </c>
      <c r="Q225" s="177" t="s">
        <v>109</v>
      </c>
      <c r="R225" s="177" t="s">
        <v>109</v>
      </c>
      <c r="S225" s="177" t="s">
        <v>109</v>
      </c>
      <c r="T225" s="177" t="s">
        <v>285</v>
      </c>
      <c r="U225" s="177" t="s">
        <v>918</v>
      </c>
      <c r="V225" s="177" t="b">
        <v>0</v>
      </c>
      <c r="W225" s="177" t="s">
        <v>109</v>
      </c>
      <c r="X225" s="261"/>
      <c r="Y225" s="177" t="s">
        <v>109</v>
      </c>
      <c r="Z225" s="177" t="s">
        <v>109</v>
      </c>
      <c r="AA225" s="177" t="s">
        <v>109</v>
      </c>
      <c r="AB225" s="177" t="s">
        <v>109</v>
      </c>
      <c r="AC225" s="177">
        <v>1.2</v>
      </c>
      <c r="AD225" s="177" t="s">
        <v>109</v>
      </c>
      <c r="AE225" s="177" t="s">
        <v>1707</v>
      </c>
      <c r="AF225" s="177">
        <v>1</v>
      </c>
      <c r="AG225" s="177">
        <v>19246</v>
      </c>
      <c r="AH225" s="177" t="s">
        <v>121</v>
      </c>
      <c r="AI225" s="177" t="b">
        <v>1</v>
      </c>
      <c r="AJ225" s="180">
        <v>45733</v>
      </c>
      <c r="AK225" s="177" t="s">
        <v>122</v>
      </c>
      <c r="AL225" s="177" t="s">
        <v>109</v>
      </c>
      <c r="AM225" s="177" t="s">
        <v>109</v>
      </c>
      <c r="AN225" s="177" t="b">
        <v>0</v>
      </c>
      <c r="AO225" s="177" t="s">
        <v>109</v>
      </c>
      <c r="AP225" s="177" t="s">
        <v>109</v>
      </c>
      <c r="AQ225" s="177" t="s">
        <v>109</v>
      </c>
      <c r="AR225" s="177" t="b">
        <v>0</v>
      </c>
      <c r="AS225" s="177" t="s">
        <v>109</v>
      </c>
      <c r="AT225" s="180" t="s">
        <v>118</v>
      </c>
      <c r="AU225" s="177" t="s">
        <v>109</v>
      </c>
      <c r="AV225" s="177" t="s">
        <v>109</v>
      </c>
      <c r="AW225" s="177" t="s">
        <v>109</v>
      </c>
      <c r="AX225" s="177" t="s">
        <v>109</v>
      </c>
      <c r="AY225" s="177" t="s">
        <v>109</v>
      </c>
      <c r="AZ225" s="177" t="s">
        <v>109</v>
      </c>
      <c r="BA225" s="177" t="s">
        <v>125</v>
      </c>
      <c r="BB225" s="177" t="s">
        <v>109</v>
      </c>
      <c r="BC225" s="177" t="s">
        <v>126</v>
      </c>
      <c r="BD225" s="177" t="s">
        <v>109</v>
      </c>
      <c r="BE225" s="180" t="s">
        <v>109</v>
      </c>
      <c r="BF225" s="180" t="s">
        <v>127</v>
      </c>
      <c r="BG225" s="180" t="s">
        <v>119</v>
      </c>
      <c r="BH225" s="177" t="s">
        <v>109</v>
      </c>
      <c r="BI225" s="177" t="s">
        <v>109</v>
      </c>
      <c r="BJ225" s="177" t="b">
        <v>1</v>
      </c>
      <c r="BK225" s="233" t="s">
        <v>118</v>
      </c>
      <c r="BL225" s="234" t="s">
        <v>128</v>
      </c>
      <c r="BM225" s="233">
        <v>3226.18663249984</v>
      </c>
      <c r="BN225" s="233">
        <v>6.9721185999999999</v>
      </c>
      <c r="BO225" s="233">
        <v>33.655684600000001</v>
      </c>
      <c r="BP225" s="233">
        <v>2349.5080882000002</v>
      </c>
      <c r="BQ225" s="233">
        <v>154.83623689999999</v>
      </c>
      <c r="BR225" s="233">
        <v>523.1324022</v>
      </c>
      <c r="BS225" s="233">
        <v>158.08210209999999</v>
      </c>
      <c r="BT225" s="233">
        <v>0</v>
      </c>
      <c r="BU225" s="233">
        <v>0</v>
      </c>
      <c r="BV225" s="233">
        <v>0</v>
      </c>
      <c r="BW225" s="233">
        <v>0</v>
      </c>
      <c r="BX225" s="233">
        <v>0</v>
      </c>
      <c r="BY225" s="234">
        <v>682.53615799983982</v>
      </c>
      <c r="BZ225" s="236" t="s">
        <v>109</v>
      </c>
      <c r="CA225" s="236" t="s">
        <v>109</v>
      </c>
      <c r="CB225" s="233" t="s">
        <v>842</v>
      </c>
      <c r="CC225" s="233">
        <v>0</v>
      </c>
      <c r="CD225" s="233">
        <v>19.8374141</v>
      </c>
      <c r="CE225" s="233">
        <v>267.24109570000002</v>
      </c>
      <c r="CF225" s="233">
        <v>2238.4635979</v>
      </c>
      <c r="CG225" s="233">
        <v>17.538854799999999</v>
      </c>
      <c r="CH225" s="233">
        <v>0.56951200000000002</v>
      </c>
      <c r="CI225" s="233">
        <v>0</v>
      </c>
      <c r="CJ225" s="237">
        <v>0</v>
      </c>
      <c r="CK225" s="177" t="s">
        <v>128</v>
      </c>
      <c r="CL225" s="177" t="s">
        <v>128</v>
      </c>
      <c r="CM225" s="155" t="s">
        <v>109</v>
      </c>
      <c r="CN225" s="229">
        <v>0</v>
      </c>
      <c r="CO225" s="229">
        <v>0</v>
      </c>
      <c r="CP225" t="s">
        <v>155</v>
      </c>
      <c r="CR225" s="248"/>
    </row>
    <row r="226" spans="1:96" ht="14.4" x14ac:dyDescent="0.3">
      <c r="A226">
        <v>223</v>
      </c>
      <c r="B226" s="173" t="s">
        <v>1708</v>
      </c>
      <c r="C226" s="259"/>
      <c r="D226" s="260"/>
      <c r="E226" t="s">
        <v>109</v>
      </c>
      <c r="F226" t="s">
        <v>1709</v>
      </c>
      <c r="G226" s="177" t="s">
        <v>503</v>
      </c>
      <c r="H226" s="177" t="s">
        <v>113</v>
      </c>
      <c r="I226" s="177" t="s">
        <v>109</v>
      </c>
      <c r="J226" s="177" t="s">
        <v>109</v>
      </c>
      <c r="K226" s="177" t="s">
        <v>114</v>
      </c>
      <c r="L226" s="177" t="s">
        <v>115</v>
      </c>
      <c r="M226" s="177" t="s">
        <v>109</v>
      </c>
      <c r="N226" s="177" t="s">
        <v>109</v>
      </c>
      <c r="O226" s="180" t="s">
        <v>109</v>
      </c>
      <c r="P226" s="177" t="s">
        <v>109</v>
      </c>
      <c r="Q226" s="177" t="s">
        <v>109</v>
      </c>
      <c r="R226" s="177" t="s">
        <v>109</v>
      </c>
      <c r="S226" s="177" t="s">
        <v>109</v>
      </c>
      <c r="T226" s="177" t="s">
        <v>223</v>
      </c>
      <c r="U226" s="177" t="s">
        <v>117</v>
      </c>
      <c r="V226" s="177" t="b">
        <v>0</v>
      </c>
      <c r="W226" s="177" t="s">
        <v>109</v>
      </c>
      <c r="X226" s="261"/>
      <c r="Y226" s="177" t="s">
        <v>118</v>
      </c>
      <c r="Z226" s="177" t="s">
        <v>118</v>
      </c>
      <c r="AA226" s="177" t="s">
        <v>119</v>
      </c>
      <c r="AB226" s="177" t="s">
        <v>109</v>
      </c>
      <c r="AC226" s="177">
        <v>1.2</v>
      </c>
      <c r="AD226" s="177" t="s">
        <v>119</v>
      </c>
      <c r="AE226" s="177" t="s">
        <v>1707</v>
      </c>
      <c r="AF226" s="177">
        <v>5</v>
      </c>
      <c r="AG226" s="177">
        <v>19246</v>
      </c>
      <c r="AH226" s="177" t="s">
        <v>121</v>
      </c>
      <c r="AI226" s="177" t="b">
        <v>1</v>
      </c>
      <c r="AJ226" s="180">
        <v>45733</v>
      </c>
      <c r="AK226" s="177" t="s">
        <v>122</v>
      </c>
      <c r="AL226" s="177" t="s">
        <v>109</v>
      </c>
      <c r="AM226" s="177" t="s">
        <v>109</v>
      </c>
      <c r="AN226" s="177" t="b">
        <v>0</v>
      </c>
      <c r="AO226" s="177" t="s">
        <v>109</v>
      </c>
      <c r="AP226" s="177" t="s">
        <v>109</v>
      </c>
      <c r="AQ226" s="177" t="s">
        <v>118</v>
      </c>
      <c r="AR226" s="177" t="b">
        <v>0</v>
      </c>
      <c r="AS226" s="177" t="s">
        <v>109</v>
      </c>
      <c r="AT226" s="180" t="s">
        <v>118</v>
      </c>
      <c r="AU226" s="177" t="s">
        <v>109</v>
      </c>
      <c r="AV226" s="177" t="s">
        <v>109</v>
      </c>
      <c r="AW226" s="177" t="s">
        <v>118</v>
      </c>
      <c r="AX226" s="177" t="s">
        <v>118</v>
      </c>
      <c r="AY226" s="177" t="s">
        <v>109</v>
      </c>
      <c r="AZ226" s="177" t="s">
        <v>109</v>
      </c>
      <c r="BA226" s="177" t="s">
        <v>125</v>
      </c>
      <c r="BB226" s="177" t="s">
        <v>109</v>
      </c>
      <c r="BC226" s="177" t="s">
        <v>126</v>
      </c>
      <c r="BD226" s="177" t="s">
        <v>109</v>
      </c>
      <c r="BE226" s="180" t="s">
        <v>109</v>
      </c>
      <c r="BF226" s="180" t="s">
        <v>127</v>
      </c>
      <c r="BG226" s="180" t="s">
        <v>119</v>
      </c>
      <c r="BH226" s="177" t="s">
        <v>109</v>
      </c>
      <c r="BI226" s="177" t="s">
        <v>109</v>
      </c>
      <c r="BJ226" s="177" t="b">
        <v>1</v>
      </c>
      <c r="BK226" s="233" t="s">
        <v>118</v>
      </c>
      <c r="BL226" s="234" t="s">
        <v>128</v>
      </c>
      <c r="BM226" s="257">
        <v>314.00099999999998</v>
      </c>
      <c r="BN226" s="257">
        <v>365.55292920000005</v>
      </c>
      <c r="BO226" s="257">
        <v>-259.135491</v>
      </c>
      <c r="BP226" s="257">
        <v>-20.103192199999999</v>
      </c>
      <c r="BQ226" s="257">
        <v>747.93682940000008</v>
      </c>
      <c r="BR226" s="257">
        <v>-724.50594599999999</v>
      </c>
      <c r="BS226" s="257">
        <v>204.25553200000002</v>
      </c>
      <c r="BT226" s="257">
        <v>0</v>
      </c>
      <c r="BU226" s="257">
        <v>0</v>
      </c>
      <c r="BV226" s="257">
        <v>0</v>
      </c>
      <c r="BW226" s="257">
        <v>0</v>
      </c>
      <c r="BX226" s="257">
        <v>0</v>
      </c>
      <c r="BY226" s="255">
        <v>0</v>
      </c>
      <c r="BZ226" s="236" t="s">
        <v>109</v>
      </c>
      <c r="CA226" s="236" t="s">
        <v>109</v>
      </c>
      <c r="CB226" s="236" t="s">
        <v>842</v>
      </c>
      <c r="CC226" s="257">
        <v>0</v>
      </c>
      <c r="CD226" s="257">
        <v>55.953484400000001</v>
      </c>
      <c r="CE226" s="257">
        <v>11.016844400000002</v>
      </c>
      <c r="CF226" s="257">
        <v>24.183390200000002</v>
      </c>
      <c r="CG226" s="257">
        <v>-59.496516</v>
      </c>
      <c r="CH226" s="257">
        <v>0</v>
      </c>
      <c r="CI226" s="257">
        <v>282.34345830000001</v>
      </c>
      <c r="CJ226" s="237">
        <v>0</v>
      </c>
      <c r="CK226" s="177" t="s">
        <v>128</v>
      </c>
      <c r="CL226" s="177" t="s">
        <v>128</v>
      </c>
      <c r="CM226" s="155" t="s">
        <v>109</v>
      </c>
      <c r="CN226" s="229">
        <v>0.13550000000000001</v>
      </c>
      <c r="CO226" s="229">
        <v>0.86450000000000005</v>
      </c>
      <c r="CP226" t="s">
        <v>1710</v>
      </c>
      <c r="CR226" s="248"/>
    </row>
    <row r="227" spans="1:96" ht="57.6" x14ac:dyDescent="0.3">
      <c r="A227">
        <v>224</v>
      </c>
      <c r="B227" s="173" t="s">
        <v>1711</v>
      </c>
      <c r="C227" s="259"/>
      <c r="D227" s="260"/>
      <c r="E227" t="s">
        <v>329</v>
      </c>
      <c r="F227" t="s">
        <v>1712</v>
      </c>
      <c r="G227" s="177" t="s">
        <v>133</v>
      </c>
      <c r="H227" s="177" t="s">
        <v>113</v>
      </c>
      <c r="I227" s="177" t="s">
        <v>109</v>
      </c>
      <c r="J227" s="177" t="s">
        <v>109</v>
      </c>
      <c r="K227" s="177" t="s">
        <v>114</v>
      </c>
      <c r="L227" s="177" t="s">
        <v>365</v>
      </c>
      <c r="M227" s="177" t="s">
        <v>109</v>
      </c>
      <c r="N227" s="177" t="s">
        <v>109</v>
      </c>
      <c r="O227" s="180">
        <v>45782</v>
      </c>
      <c r="P227" s="177" t="s">
        <v>109</v>
      </c>
      <c r="Q227" s="177" t="s">
        <v>109</v>
      </c>
      <c r="R227" s="177" t="s">
        <v>109</v>
      </c>
      <c r="S227" s="177" t="s">
        <v>109</v>
      </c>
      <c r="T227" s="177" t="s">
        <v>116</v>
      </c>
      <c r="U227" s="177" t="s">
        <v>117</v>
      </c>
      <c r="V227" s="177" t="b">
        <v>0</v>
      </c>
      <c r="W227" s="177" t="s">
        <v>109</v>
      </c>
      <c r="X227" s="261"/>
      <c r="Y227" s="177" t="s">
        <v>118</v>
      </c>
      <c r="Z227" s="177">
        <v>0.56634399999999996</v>
      </c>
      <c r="AA227" s="177">
        <v>69</v>
      </c>
      <c r="AB227" s="177" t="s">
        <v>1713</v>
      </c>
      <c r="AC227" s="177">
        <v>4.0999999999999996</v>
      </c>
      <c r="AD227" s="177" t="s">
        <v>1714</v>
      </c>
      <c r="AE227" s="177" t="s">
        <v>1715</v>
      </c>
      <c r="AF227" s="177">
        <v>1</v>
      </c>
      <c r="AG227" s="177">
        <v>19252</v>
      </c>
      <c r="AH227" s="177" t="s">
        <v>121</v>
      </c>
      <c r="AI227" s="177" t="b">
        <v>1</v>
      </c>
      <c r="AJ227" s="180">
        <v>45526</v>
      </c>
      <c r="AK227" s="177" t="s">
        <v>122</v>
      </c>
      <c r="AL227" s="177">
        <v>2019</v>
      </c>
      <c r="AM227" s="177" t="s">
        <v>109</v>
      </c>
      <c r="AN227" s="177" t="b">
        <v>0</v>
      </c>
      <c r="AO227" s="177" t="s">
        <v>109</v>
      </c>
      <c r="AP227" s="177" t="s">
        <v>109</v>
      </c>
      <c r="AQ227" s="177" t="s">
        <v>118</v>
      </c>
      <c r="AR227" s="177" t="b">
        <v>0</v>
      </c>
      <c r="AS227" s="177" t="s">
        <v>109</v>
      </c>
      <c r="AT227" s="180" t="s">
        <v>118</v>
      </c>
      <c r="AU227" s="177" t="s">
        <v>109</v>
      </c>
      <c r="AV227" s="177" t="s">
        <v>109</v>
      </c>
      <c r="AW227" s="177" t="s">
        <v>118</v>
      </c>
      <c r="AX227" s="177" t="s">
        <v>118</v>
      </c>
      <c r="AY227" s="177" t="s">
        <v>135</v>
      </c>
      <c r="AZ227" s="177" t="s">
        <v>109</v>
      </c>
      <c r="BA227" s="177" t="s">
        <v>218</v>
      </c>
      <c r="BB227" s="177" t="s">
        <v>109</v>
      </c>
      <c r="BC227" s="177" t="s">
        <v>1002</v>
      </c>
      <c r="BD227" s="177" t="s">
        <v>109</v>
      </c>
      <c r="BE227" s="180" t="s">
        <v>1716</v>
      </c>
      <c r="BF227" s="180" t="s">
        <v>1717</v>
      </c>
      <c r="BG227" s="180" t="s">
        <v>1718</v>
      </c>
      <c r="BH227" s="177" t="s">
        <v>138</v>
      </c>
      <c r="BI227" s="177" t="s">
        <v>109</v>
      </c>
      <c r="BJ227" s="177" t="b">
        <v>1</v>
      </c>
      <c r="BK227" s="233">
        <v>5891.5596400000004</v>
      </c>
      <c r="BL227" s="234" t="s">
        <v>128</v>
      </c>
      <c r="BM227" s="254">
        <v>21228.6</v>
      </c>
      <c r="BN227" s="254">
        <v>222.94035</v>
      </c>
      <c r="BO227" s="254">
        <v>311.12896999999998</v>
      </c>
      <c r="BP227" s="254">
        <v>640.66356000000007</v>
      </c>
      <c r="BQ227" s="254">
        <v>1245.1790737000001</v>
      </c>
      <c r="BR227" s="254">
        <v>10027.702923999999</v>
      </c>
      <c r="BS227" s="254">
        <v>506.99842999999993</v>
      </c>
      <c r="BT227" s="254">
        <v>1916.2813807000002</v>
      </c>
      <c r="BU227" s="254">
        <v>3805.1398918000004</v>
      </c>
      <c r="BV227" s="254">
        <v>2549.4261423000003</v>
      </c>
      <c r="BW227" s="254">
        <v>0</v>
      </c>
      <c r="BX227" s="254">
        <v>0</v>
      </c>
      <c r="BY227" s="255">
        <v>656.43499999999995</v>
      </c>
      <c r="BZ227" s="236" t="s">
        <v>109</v>
      </c>
      <c r="CA227" s="236" t="s">
        <v>109</v>
      </c>
      <c r="CB227" s="236" t="s">
        <v>196</v>
      </c>
      <c r="CC227" s="254">
        <v>0</v>
      </c>
      <c r="CD227" s="254">
        <v>0</v>
      </c>
      <c r="CE227" s="254">
        <v>0</v>
      </c>
      <c r="CF227" s="254">
        <v>0</v>
      </c>
      <c r="CG227" s="254">
        <v>11899.097109999999</v>
      </c>
      <c r="CH227" s="254">
        <v>399.08053000000001</v>
      </c>
      <c r="CI227" s="254">
        <v>0</v>
      </c>
      <c r="CJ227" s="237">
        <v>0</v>
      </c>
      <c r="CK227" s="177" t="s">
        <v>128</v>
      </c>
      <c r="CL227" s="177">
        <v>31.5</v>
      </c>
      <c r="CM227" s="155" t="s">
        <v>109</v>
      </c>
      <c r="CN227" s="229">
        <v>0</v>
      </c>
      <c r="CO227" s="229">
        <v>1</v>
      </c>
      <c r="CP227" s="138" t="s">
        <v>1719</v>
      </c>
      <c r="CR227" s="248"/>
    </row>
    <row r="228" spans="1:96" ht="14.4" x14ac:dyDescent="0.3">
      <c r="A228">
        <v>225</v>
      </c>
      <c r="B228" s="173" t="s">
        <v>1721</v>
      </c>
      <c r="C228" s="259"/>
      <c r="D228" s="260"/>
      <c r="E228" t="s">
        <v>1722</v>
      </c>
      <c r="F228" t="s">
        <v>1723</v>
      </c>
      <c r="G228" s="177" t="s">
        <v>274</v>
      </c>
      <c r="H228" s="177" t="s">
        <v>146</v>
      </c>
      <c r="I228" s="177" t="s">
        <v>109</v>
      </c>
      <c r="J228" s="177" t="s">
        <v>109</v>
      </c>
      <c r="K228" s="177" t="s">
        <v>114</v>
      </c>
      <c r="L228" s="177" t="s">
        <v>194</v>
      </c>
      <c r="M228" s="177" t="s">
        <v>194</v>
      </c>
      <c r="N228" s="177" t="s">
        <v>109</v>
      </c>
      <c r="O228" s="180" t="s">
        <v>109</v>
      </c>
      <c r="P228" s="177" t="s">
        <v>1724</v>
      </c>
      <c r="Q228" s="177" t="s">
        <v>109</v>
      </c>
      <c r="R228" s="177" t="s">
        <v>109</v>
      </c>
      <c r="S228" s="177" t="s">
        <v>109</v>
      </c>
      <c r="T228" s="177" t="s">
        <v>116</v>
      </c>
      <c r="U228" s="177" t="s">
        <v>117</v>
      </c>
      <c r="V228" s="177" t="b">
        <v>0</v>
      </c>
      <c r="W228" s="177" t="s">
        <v>109</v>
      </c>
      <c r="X228" s="261"/>
      <c r="Y228" s="177" t="s">
        <v>118</v>
      </c>
      <c r="Z228" s="177" t="s">
        <v>118</v>
      </c>
      <c r="AA228" s="177" t="s">
        <v>304</v>
      </c>
      <c r="AB228" s="177" t="s">
        <v>109</v>
      </c>
      <c r="AC228" s="177">
        <v>1.1000000000000001</v>
      </c>
      <c r="AD228" s="177" t="s">
        <v>109</v>
      </c>
      <c r="AE228" s="177" t="s">
        <v>1725</v>
      </c>
      <c r="AF228" s="177">
        <v>1</v>
      </c>
      <c r="AG228" s="177">
        <v>20125</v>
      </c>
      <c r="AH228" s="177" t="s">
        <v>121</v>
      </c>
      <c r="AI228" s="177" t="b">
        <v>1</v>
      </c>
      <c r="AJ228" s="180">
        <v>43877</v>
      </c>
      <c r="AK228" s="177" t="s">
        <v>122</v>
      </c>
      <c r="AL228" s="177" t="s">
        <v>109</v>
      </c>
      <c r="AM228" s="177" t="s">
        <v>109</v>
      </c>
      <c r="AN228" s="177" t="b">
        <v>0</v>
      </c>
      <c r="AO228" s="177" t="s">
        <v>109</v>
      </c>
      <c r="AP228" s="177" t="s">
        <v>109</v>
      </c>
      <c r="AQ228" s="177" t="s">
        <v>118</v>
      </c>
      <c r="AR228" s="177" t="b">
        <v>0</v>
      </c>
      <c r="AS228" s="177" t="s">
        <v>123</v>
      </c>
      <c r="AT228" s="180" t="s">
        <v>123</v>
      </c>
      <c r="AU228" s="177" t="s">
        <v>124</v>
      </c>
      <c r="AV228" s="177" t="s">
        <v>109</v>
      </c>
      <c r="AW228" s="177" t="s">
        <v>118</v>
      </c>
      <c r="AX228" s="177" t="s">
        <v>118</v>
      </c>
      <c r="AY228" s="177" t="s">
        <v>109</v>
      </c>
      <c r="AZ228" s="177" t="s">
        <v>109</v>
      </c>
      <c r="BA228" s="177" t="s">
        <v>125</v>
      </c>
      <c r="BB228" s="177" t="s">
        <v>109</v>
      </c>
      <c r="BC228" s="177" t="s">
        <v>546</v>
      </c>
      <c r="BD228" s="177" t="s">
        <v>109</v>
      </c>
      <c r="BE228" s="180" t="s">
        <v>109</v>
      </c>
      <c r="BF228" s="180" t="s">
        <v>1549</v>
      </c>
      <c r="BG228" s="180" t="s">
        <v>109</v>
      </c>
      <c r="BH228" s="177" t="s">
        <v>109</v>
      </c>
      <c r="BI228" s="177" t="s">
        <v>109</v>
      </c>
      <c r="BJ228" s="177" t="b">
        <v>0</v>
      </c>
      <c r="BK228" s="233">
        <v>16373.37</v>
      </c>
      <c r="BL228" s="234" t="s">
        <v>128</v>
      </c>
      <c r="BM228" s="254">
        <v>10410.06</v>
      </c>
      <c r="BN228" s="254">
        <v>0</v>
      </c>
      <c r="BO228" s="254">
        <v>0</v>
      </c>
      <c r="BP228" s="254">
        <v>0</v>
      </c>
      <c r="BQ228" s="254">
        <v>0</v>
      </c>
      <c r="BR228" s="254">
        <v>3874.0546800000002</v>
      </c>
      <c r="BS228" s="254">
        <v>167.631396</v>
      </c>
      <c r="BT228" s="254">
        <v>4030.3565946999997</v>
      </c>
      <c r="BU228" s="254">
        <v>2338.0172969999999</v>
      </c>
      <c r="BV228" s="254">
        <v>0</v>
      </c>
      <c r="BW228" s="254">
        <v>0</v>
      </c>
      <c r="BX228" s="254">
        <v>0</v>
      </c>
      <c r="BY228" s="255">
        <v>4041.6860000000001</v>
      </c>
      <c r="BZ228" s="236" t="s">
        <v>109</v>
      </c>
      <c r="CA228" s="236" t="s">
        <v>109</v>
      </c>
      <c r="CB228" s="236" t="s">
        <v>109</v>
      </c>
      <c r="CC228" s="254">
        <v>0</v>
      </c>
      <c r="CD228" s="254">
        <v>0</v>
      </c>
      <c r="CE228" s="254">
        <v>0</v>
      </c>
      <c r="CF228" s="254">
        <v>0</v>
      </c>
      <c r="CG228" s="254">
        <v>0</v>
      </c>
      <c r="CH228" s="254">
        <v>0</v>
      </c>
      <c r="CI228" s="254">
        <v>0</v>
      </c>
      <c r="CJ228" s="237">
        <v>0</v>
      </c>
      <c r="CK228" s="177" t="s">
        <v>128</v>
      </c>
      <c r="CL228" s="177">
        <v>1.8</v>
      </c>
      <c r="CM228" s="155" t="s">
        <v>109</v>
      </c>
      <c r="CN228" s="229">
        <v>0.13550000000000001</v>
      </c>
      <c r="CO228" s="229">
        <v>0.86450000000000005</v>
      </c>
      <c r="CP228" t="s">
        <v>155</v>
      </c>
      <c r="CR228" s="248"/>
    </row>
    <row r="229" spans="1:96" ht="14.4" x14ac:dyDescent="0.3">
      <c r="A229">
        <v>226</v>
      </c>
      <c r="B229" s="173" t="s">
        <v>1726</v>
      </c>
      <c r="C229" s="259"/>
      <c r="D229" s="260"/>
      <c r="E229" t="s">
        <v>109</v>
      </c>
      <c r="F229" t="s">
        <v>1727</v>
      </c>
      <c r="G229" s="177" t="s">
        <v>688</v>
      </c>
      <c r="H229" s="177" t="s">
        <v>146</v>
      </c>
      <c r="I229" s="177" t="s">
        <v>109</v>
      </c>
      <c r="J229" s="177" t="s">
        <v>109</v>
      </c>
      <c r="K229" s="177" t="s">
        <v>1728</v>
      </c>
      <c r="L229" s="177" t="s">
        <v>251</v>
      </c>
      <c r="M229" s="177" t="s">
        <v>109</v>
      </c>
      <c r="N229" s="177" t="s">
        <v>109</v>
      </c>
      <c r="O229" s="180" t="s">
        <v>109</v>
      </c>
      <c r="P229" s="177" t="s">
        <v>109</v>
      </c>
      <c r="Q229" s="177" t="s">
        <v>109</v>
      </c>
      <c r="R229" s="177" t="s">
        <v>109</v>
      </c>
      <c r="S229" s="177" t="s">
        <v>109</v>
      </c>
      <c r="T229" s="177" t="s">
        <v>116</v>
      </c>
      <c r="U229" s="177" t="s">
        <v>117</v>
      </c>
      <c r="V229" s="177" t="b">
        <v>0</v>
      </c>
      <c r="W229" s="177" t="s">
        <v>224</v>
      </c>
      <c r="X229" s="261"/>
      <c r="Y229" s="177" t="s">
        <v>109</v>
      </c>
      <c r="Z229" s="177" t="s">
        <v>109</v>
      </c>
      <c r="AA229" s="177" t="s">
        <v>119</v>
      </c>
      <c r="AB229" s="177" t="s">
        <v>109</v>
      </c>
      <c r="AC229" s="177">
        <v>1.1000000000000001</v>
      </c>
      <c r="AD229" s="177" t="s">
        <v>119</v>
      </c>
      <c r="AE229" s="177" t="s">
        <v>1729</v>
      </c>
      <c r="AF229" s="177">
        <v>1040</v>
      </c>
      <c r="AG229" s="177">
        <v>20126</v>
      </c>
      <c r="AH229" s="177" t="s">
        <v>121</v>
      </c>
      <c r="AI229" s="177" t="b">
        <v>1</v>
      </c>
      <c r="AJ229" s="180">
        <v>45637</v>
      </c>
      <c r="AK229" s="177" t="s">
        <v>122</v>
      </c>
      <c r="AL229" s="177" t="s">
        <v>109</v>
      </c>
      <c r="AM229" s="177" t="s">
        <v>109</v>
      </c>
      <c r="AN229" s="177" t="b">
        <v>0</v>
      </c>
      <c r="AO229" s="177" t="s">
        <v>109</v>
      </c>
      <c r="AP229" s="177" t="s">
        <v>109</v>
      </c>
      <c r="AQ229" s="177" t="s">
        <v>118</v>
      </c>
      <c r="AR229" s="177" t="b">
        <v>0</v>
      </c>
      <c r="AS229" s="177" t="s">
        <v>123</v>
      </c>
      <c r="AT229" s="180" t="s">
        <v>123</v>
      </c>
      <c r="AU229" s="177" t="s">
        <v>124</v>
      </c>
      <c r="AV229" s="177" t="s">
        <v>109</v>
      </c>
      <c r="AW229" s="177" t="s">
        <v>195</v>
      </c>
      <c r="AX229" s="177" t="s">
        <v>109</v>
      </c>
      <c r="AY229" s="177" t="s">
        <v>135</v>
      </c>
      <c r="AZ229" s="177" t="s">
        <v>109</v>
      </c>
      <c r="BA229" s="177" t="s">
        <v>125</v>
      </c>
      <c r="BB229" s="177" t="s">
        <v>109</v>
      </c>
      <c r="BC229" s="177" t="s">
        <v>126</v>
      </c>
      <c r="BD229" s="177" t="s">
        <v>109</v>
      </c>
      <c r="BE229" s="180" t="s">
        <v>109</v>
      </c>
      <c r="BF229" s="180" t="s">
        <v>118</v>
      </c>
      <c r="BG229" s="180" t="s">
        <v>119</v>
      </c>
      <c r="BH229" s="177" t="s">
        <v>109</v>
      </c>
      <c r="BI229" s="177" t="s">
        <v>109</v>
      </c>
      <c r="BJ229" s="177" t="b">
        <v>1</v>
      </c>
      <c r="BK229" s="233" t="s">
        <v>118</v>
      </c>
      <c r="BL229" s="234" t="s">
        <v>128</v>
      </c>
      <c r="BM229" s="233">
        <v>0</v>
      </c>
      <c r="BN229" s="238">
        <f>38783.3518319-SUM(BN230:BN258)</f>
        <v>28207.861191900003</v>
      </c>
      <c r="BO229" s="238">
        <f>42664.6208949-SUM(BO230:BO258)</f>
        <v>32660.674874899996</v>
      </c>
      <c r="BP229" s="238">
        <f>39757.1534056-SUM(BP230:BP258)</f>
        <v>31903.807605600003</v>
      </c>
      <c r="BQ229" s="238">
        <f>42079.7962358-SUM(BQ230:BQ258)</f>
        <v>33842.571275800001</v>
      </c>
      <c r="BR229" s="238">
        <f>45145.10809-SUM(BR230:BR258)</f>
        <v>30084.053910000002</v>
      </c>
      <c r="BS229" s="238">
        <f>8060.263964-SUM(BS230:BS258)</f>
        <v>7073.3669840000002</v>
      </c>
      <c r="BT229" s="238">
        <f>33200.7512339-SUM(BT230:BT258)</f>
        <v>33166.660201800005</v>
      </c>
      <c r="BU229" s="238">
        <f>45190.4304195-SUM(BU230:BU258)</f>
        <v>45190.4304195</v>
      </c>
      <c r="BV229" s="238">
        <f>47863.8706262-SUM(BV230:BV258)</f>
        <v>47863.870626199998</v>
      </c>
      <c r="BW229" s="238">
        <f>50679.9799858-SUM(BW230:BW258)</f>
        <v>50679.979985799997</v>
      </c>
      <c r="BX229" s="238">
        <f>53952.330902-SUM(BX230:BX258)</f>
        <v>53952.330902000002</v>
      </c>
      <c r="BY229" s="234">
        <v>17441.211289999999</v>
      </c>
      <c r="BZ229" s="236" t="s">
        <v>109</v>
      </c>
      <c r="CA229" s="236" t="s">
        <v>109</v>
      </c>
      <c r="CB229" s="233" t="s">
        <v>129</v>
      </c>
      <c r="CC229" s="238">
        <f>28931.79814-SUM(CC230:CC258)</f>
        <v>23417.203939999999</v>
      </c>
      <c r="CD229" s="238">
        <f>42733.1294076-SUM(CD230:CD258)</f>
        <v>33106.745077599997</v>
      </c>
      <c r="CE229" s="238">
        <f>38857.3639701-SUM(CE230:CE258)</f>
        <v>32884.978690099997</v>
      </c>
      <c r="CF229" s="238">
        <f>41830.9293795-SUM(CF230:CF258)</f>
        <v>35549.528259499995</v>
      </c>
      <c r="CG229" s="238">
        <f>54211.3099301-SUM(CG230:CG258)</f>
        <v>28850.977200099998</v>
      </c>
      <c r="CH229" s="238">
        <f>6258.247-SUM(CH230:CH258)</f>
        <v>4045.0536100000004</v>
      </c>
      <c r="CI229" s="238">
        <f>13768.7832842-SUM(CI230:CI258)</f>
        <v>11954.4088921</v>
      </c>
      <c r="CJ229" s="237">
        <v>0</v>
      </c>
      <c r="CK229" s="177" t="s">
        <v>128</v>
      </c>
      <c r="CL229" s="177">
        <v>2.1</v>
      </c>
      <c r="CM229" s="155" t="s">
        <v>109</v>
      </c>
      <c r="CN229" s="230">
        <v>0.13550000000000001</v>
      </c>
      <c r="CO229" s="230">
        <v>0.86450000000000005</v>
      </c>
      <c r="CP229" t="s">
        <v>155</v>
      </c>
      <c r="CR229" s="248"/>
    </row>
    <row r="230" spans="1:96" ht="14.4" x14ac:dyDescent="0.3">
      <c r="A230">
        <v>227</v>
      </c>
      <c r="B230" s="173" t="s">
        <v>1730</v>
      </c>
      <c r="C230" s="259"/>
      <c r="D230" s="260"/>
      <c r="E230" t="s">
        <v>1731</v>
      </c>
      <c r="F230" t="s">
        <v>1727</v>
      </c>
      <c r="G230" s="177" t="s">
        <v>688</v>
      </c>
      <c r="H230" s="177" t="s">
        <v>146</v>
      </c>
      <c r="I230" s="177" t="s">
        <v>109</v>
      </c>
      <c r="J230" s="177" t="s">
        <v>109</v>
      </c>
      <c r="K230" s="177" t="s">
        <v>1728</v>
      </c>
      <c r="L230" s="177" t="s">
        <v>251</v>
      </c>
      <c r="M230" s="177" t="s">
        <v>109</v>
      </c>
      <c r="N230" s="177" t="s">
        <v>109</v>
      </c>
      <c r="O230" s="180" t="s">
        <v>109</v>
      </c>
      <c r="P230" s="177" t="s">
        <v>1732</v>
      </c>
      <c r="Q230" s="177" t="s">
        <v>109</v>
      </c>
      <c r="R230" s="177" t="s">
        <v>109</v>
      </c>
      <c r="S230" s="177" t="s">
        <v>109</v>
      </c>
      <c r="T230" s="177" t="s">
        <v>1733</v>
      </c>
      <c r="U230" s="177" t="s">
        <v>117</v>
      </c>
      <c r="V230" s="177" t="b">
        <v>0</v>
      </c>
      <c r="W230" s="177" t="s">
        <v>109</v>
      </c>
      <c r="X230" s="261"/>
      <c r="Y230" s="177">
        <v>0.1</v>
      </c>
      <c r="Z230" s="177" t="s">
        <v>109</v>
      </c>
      <c r="AA230" s="177" t="s">
        <v>119</v>
      </c>
      <c r="AB230" s="177" t="s">
        <v>109</v>
      </c>
      <c r="AC230" s="177">
        <v>1.1000000000000001</v>
      </c>
      <c r="AD230" s="177" t="s">
        <v>1734</v>
      </c>
      <c r="AE230" s="177" t="s">
        <v>1729</v>
      </c>
      <c r="AF230" s="177">
        <v>1</v>
      </c>
      <c r="AG230" s="177">
        <v>20126</v>
      </c>
      <c r="AH230" s="177" t="s">
        <v>121</v>
      </c>
      <c r="AI230" s="177" t="b">
        <v>1</v>
      </c>
      <c r="AJ230" s="180" t="s">
        <v>1735</v>
      </c>
      <c r="AK230" s="177" t="s">
        <v>122</v>
      </c>
      <c r="AL230" s="177" t="s">
        <v>109</v>
      </c>
      <c r="AM230" s="177" t="s">
        <v>109</v>
      </c>
      <c r="AN230" s="177" t="b">
        <v>0</v>
      </c>
      <c r="AO230" s="177" t="s">
        <v>109</v>
      </c>
      <c r="AP230" s="177" t="s">
        <v>109</v>
      </c>
      <c r="AQ230" s="177" t="s">
        <v>109</v>
      </c>
      <c r="AR230" s="177" t="b">
        <v>0</v>
      </c>
      <c r="AS230" s="177" t="s">
        <v>123</v>
      </c>
      <c r="AT230" s="180" t="s">
        <v>123</v>
      </c>
      <c r="AU230" s="177" t="s">
        <v>124</v>
      </c>
      <c r="AV230" s="177" t="s">
        <v>109</v>
      </c>
      <c r="AW230" s="177" t="s">
        <v>109</v>
      </c>
      <c r="AX230" s="177" t="s">
        <v>109</v>
      </c>
      <c r="AY230" s="177" t="s">
        <v>135</v>
      </c>
      <c r="AZ230" s="177" t="s">
        <v>109</v>
      </c>
      <c r="BA230" s="177" t="s">
        <v>125</v>
      </c>
      <c r="BB230" s="177" t="s">
        <v>109</v>
      </c>
      <c r="BC230" s="177" t="s">
        <v>425</v>
      </c>
      <c r="BD230" s="177" t="s">
        <v>109</v>
      </c>
      <c r="BE230" s="180" t="s">
        <v>1736</v>
      </c>
      <c r="BF230" s="180" t="s">
        <v>127</v>
      </c>
      <c r="BG230" s="180" t="s">
        <v>1737</v>
      </c>
      <c r="BH230" s="177" t="s">
        <v>699</v>
      </c>
      <c r="BI230" s="177" t="s">
        <v>1738</v>
      </c>
      <c r="BJ230" s="177" t="b">
        <v>1</v>
      </c>
      <c r="BK230" s="233">
        <v>582.96288000000004</v>
      </c>
      <c r="BL230" s="234" t="s">
        <v>128</v>
      </c>
      <c r="BM230" s="233">
        <v>1902.3378600000001</v>
      </c>
      <c r="BN230" s="233">
        <v>67.061329999999998</v>
      </c>
      <c r="BO230" s="233">
        <v>186.64425</v>
      </c>
      <c r="BP230" s="233">
        <v>343.70540999999997</v>
      </c>
      <c r="BQ230" s="233">
        <v>266.80446999999998</v>
      </c>
      <c r="BR230" s="233">
        <v>964.49464</v>
      </c>
      <c r="BS230" s="233">
        <v>73.627759999999995</v>
      </c>
      <c r="BT230" s="233">
        <v>0</v>
      </c>
      <c r="BU230" s="233">
        <v>0</v>
      </c>
      <c r="BV230" s="233">
        <v>0</v>
      </c>
      <c r="BW230" s="233">
        <v>0</v>
      </c>
      <c r="BX230" s="233">
        <v>0</v>
      </c>
      <c r="BY230" s="234">
        <v>0</v>
      </c>
      <c r="BZ230" s="236" t="s">
        <v>109</v>
      </c>
      <c r="CA230" s="236" t="s">
        <v>109</v>
      </c>
      <c r="CB230" s="236" t="s">
        <v>196</v>
      </c>
      <c r="CC230" s="233">
        <v>0</v>
      </c>
      <c r="CD230" s="233">
        <v>0</v>
      </c>
      <c r="CE230" s="233">
        <v>0</v>
      </c>
      <c r="CF230" s="233">
        <v>0</v>
      </c>
      <c r="CG230" s="233">
        <v>1828.7101</v>
      </c>
      <c r="CH230" s="233">
        <v>73.627759999999995</v>
      </c>
      <c r="CI230" s="233">
        <v>0</v>
      </c>
      <c r="CJ230" s="237">
        <v>0</v>
      </c>
      <c r="CK230" s="177" t="s">
        <v>128</v>
      </c>
      <c r="CL230" s="177" t="s">
        <v>128</v>
      </c>
      <c r="CM230" s="155" t="s">
        <v>109</v>
      </c>
      <c r="CN230" s="229">
        <v>0.13550000000000001</v>
      </c>
      <c r="CO230" s="229">
        <v>0.86450000000000005</v>
      </c>
      <c r="CP230" t="s">
        <v>1739</v>
      </c>
      <c r="CR230" s="248"/>
    </row>
    <row r="231" spans="1:96" ht="14.4" x14ac:dyDescent="0.3">
      <c r="A231">
        <v>228</v>
      </c>
      <c r="B231" s="173" t="s">
        <v>1740</v>
      </c>
      <c r="C231" s="259"/>
      <c r="D231" s="260"/>
      <c r="E231" t="s">
        <v>1731</v>
      </c>
      <c r="F231" t="s">
        <v>1727</v>
      </c>
      <c r="G231" s="177" t="s">
        <v>688</v>
      </c>
      <c r="H231" s="177" t="s">
        <v>146</v>
      </c>
      <c r="I231" s="177" t="s">
        <v>109</v>
      </c>
      <c r="J231" s="177" t="s">
        <v>109</v>
      </c>
      <c r="K231" s="177" t="s">
        <v>1728</v>
      </c>
      <c r="L231" s="177" t="s">
        <v>251</v>
      </c>
      <c r="M231" s="177" t="s">
        <v>109</v>
      </c>
      <c r="N231" s="177" t="s">
        <v>109</v>
      </c>
      <c r="O231" s="180">
        <v>45685</v>
      </c>
      <c r="P231" s="177" t="s">
        <v>1741</v>
      </c>
      <c r="Q231" s="177" t="s">
        <v>109</v>
      </c>
      <c r="R231" s="177" t="s">
        <v>109</v>
      </c>
      <c r="S231" s="177" t="s">
        <v>109</v>
      </c>
      <c r="T231" s="177" t="s">
        <v>1733</v>
      </c>
      <c r="U231" s="177" t="s">
        <v>117</v>
      </c>
      <c r="V231" s="177" t="b">
        <v>0</v>
      </c>
      <c r="W231" s="177" t="s">
        <v>109</v>
      </c>
      <c r="X231" s="261"/>
      <c r="Y231" s="177">
        <v>0.1</v>
      </c>
      <c r="Z231" s="177" t="s">
        <v>109</v>
      </c>
      <c r="AA231" s="177" t="s">
        <v>215</v>
      </c>
      <c r="AB231" s="177" t="s">
        <v>109</v>
      </c>
      <c r="AC231" s="177">
        <v>1.1000000000000001</v>
      </c>
      <c r="AD231" s="177" t="s">
        <v>1742</v>
      </c>
      <c r="AE231" s="177" t="s">
        <v>1729</v>
      </c>
      <c r="AF231" s="177">
        <v>1</v>
      </c>
      <c r="AG231" s="177">
        <v>20126</v>
      </c>
      <c r="AH231" s="177" t="s">
        <v>121</v>
      </c>
      <c r="AI231" s="177" t="b">
        <v>1</v>
      </c>
      <c r="AJ231" s="180" t="s">
        <v>1743</v>
      </c>
      <c r="AK231" s="177" t="s">
        <v>122</v>
      </c>
      <c r="AL231" s="177" t="s">
        <v>109</v>
      </c>
      <c r="AM231" s="177" t="s">
        <v>109</v>
      </c>
      <c r="AN231" s="177" t="b">
        <v>0</v>
      </c>
      <c r="AO231" s="177" t="s">
        <v>109</v>
      </c>
      <c r="AP231" s="177" t="s">
        <v>109</v>
      </c>
      <c r="AQ231" s="177" t="s">
        <v>109</v>
      </c>
      <c r="AR231" s="177" t="b">
        <v>0</v>
      </c>
      <c r="AS231" s="177" t="s">
        <v>123</v>
      </c>
      <c r="AT231" s="180" t="s">
        <v>123</v>
      </c>
      <c r="AU231" s="177" t="s">
        <v>124</v>
      </c>
      <c r="AV231" s="177" t="s">
        <v>109</v>
      </c>
      <c r="AW231" s="177" t="s">
        <v>109</v>
      </c>
      <c r="AX231" s="177" t="s">
        <v>109</v>
      </c>
      <c r="AY231" s="177" t="s">
        <v>135</v>
      </c>
      <c r="AZ231" s="177" t="s">
        <v>109</v>
      </c>
      <c r="BA231" s="177" t="s">
        <v>218</v>
      </c>
      <c r="BB231" s="177" t="s">
        <v>109</v>
      </c>
      <c r="BC231" s="177" t="s">
        <v>126</v>
      </c>
      <c r="BD231" s="177" t="s">
        <v>109</v>
      </c>
      <c r="BE231" s="180" t="s">
        <v>1744</v>
      </c>
      <c r="BF231" s="180" t="s">
        <v>453</v>
      </c>
      <c r="BG231" s="180" t="s">
        <v>1745</v>
      </c>
      <c r="BH231" s="177" t="s">
        <v>109</v>
      </c>
      <c r="BI231" s="177" t="s">
        <v>109</v>
      </c>
      <c r="BJ231" s="177" t="b">
        <v>1</v>
      </c>
      <c r="BK231" s="233">
        <v>84.416520000000006</v>
      </c>
      <c r="BL231" s="234" t="s">
        <v>128</v>
      </c>
      <c r="BM231" s="233">
        <v>2915.7412399999998</v>
      </c>
      <c r="BN231" s="233">
        <v>127.12966</v>
      </c>
      <c r="BO231" s="233">
        <v>283.62148999999999</v>
      </c>
      <c r="BP231" s="233">
        <v>547.34897000000001</v>
      </c>
      <c r="BQ231" s="233">
        <v>1233.3297600000001</v>
      </c>
      <c r="BR231" s="233">
        <v>659.43691999999999</v>
      </c>
      <c r="BS231" s="233">
        <v>-39.246400000000001</v>
      </c>
      <c r="BT231" s="233">
        <v>0</v>
      </c>
      <c r="BU231" s="233">
        <v>0</v>
      </c>
      <c r="BV231" s="233">
        <v>0</v>
      </c>
      <c r="BW231" s="233">
        <v>0</v>
      </c>
      <c r="BX231" s="233">
        <v>0</v>
      </c>
      <c r="BY231" s="234">
        <v>0</v>
      </c>
      <c r="BZ231" s="236" t="s">
        <v>109</v>
      </c>
      <c r="CA231" s="236" t="s">
        <v>109</v>
      </c>
      <c r="CB231" s="236" t="s">
        <v>196</v>
      </c>
      <c r="CC231" s="233">
        <v>0</v>
      </c>
      <c r="CD231" s="233">
        <v>0</v>
      </c>
      <c r="CE231" s="233">
        <v>0</v>
      </c>
      <c r="CF231" s="233">
        <v>0</v>
      </c>
      <c r="CG231" s="233">
        <v>2954.9876399999998</v>
      </c>
      <c r="CH231" s="233">
        <v>-39.246400000000001</v>
      </c>
      <c r="CI231" s="233">
        <v>0</v>
      </c>
      <c r="CJ231" s="237">
        <v>0</v>
      </c>
      <c r="CK231" s="177" t="s">
        <v>128</v>
      </c>
      <c r="CL231" s="177" t="s">
        <v>128</v>
      </c>
      <c r="CM231" s="155" t="s">
        <v>109</v>
      </c>
      <c r="CN231" s="229">
        <v>0</v>
      </c>
      <c r="CO231" s="229">
        <v>1</v>
      </c>
      <c r="CP231" t="s">
        <v>1746</v>
      </c>
      <c r="CR231" s="248"/>
    </row>
    <row r="232" spans="1:96" ht="14.4" x14ac:dyDescent="0.3">
      <c r="A232">
        <v>229</v>
      </c>
      <c r="B232" s="173" t="s">
        <v>1747</v>
      </c>
      <c r="C232" s="259"/>
      <c r="D232" s="260"/>
      <c r="E232" t="s">
        <v>329</v>
      </c>
      <c r="F232" t="s">
        <v>1727</v>
      </c>
      <c r="G232" s="177" t="s">
        <v>688</v>
      </c>
      <c r="H232" s="177" t="s">
        <v>146</v>
      </c>
      <c r="I232" s="177" t="s">
        <v>109</v>
      </c>
      <c r="J232" s="177" t="s">
        <v>109</v>
      </c>
      <c r="K232" s="177" t="s">
        <v>1728</v>
      </c>
      <c r="L232" s="177" t="s">
        <v>251</v>
      </c>
      <c r="M232" s="177" t="s">
        <v>109</v>
      </c>
      <c r="N232" s="177" t="s">
        <v>109</v>
      </c>
      <c r="O232" s="180">
        <v>45703</v>
      </c>
      <c r="P232" s="177" t="s">
        <v>1748</v>
      </c>
      <c r="Q232" s="177" t="s">
        <v>109</v>
      </c>
      <c r="R232" s="177" t="s">
        <v>109</v>
      </c>
      <c r="S232" s="177" t="s">
        <v>109</v>
      </c>
      <c r="T232" s="177" t="s">
        <v>1733</v>
      </c>
      <c r="U232" s="177" t="s">
        <v>117</v>
      </c>
      <c r="V232" s="177" t="b">
        <v>0</v>
      </c>
      <c r="W232" s="177" t="s">
        <v>109</v>
      </c>
      <c r="X232" s="261"/>
      <c r="Y232" s="177" t="s">
        <v>109</v>
      </c>
      <c r="Z232" s="177" t="s">
        <v>109</v>
      </c>
      <c r="AA232" s="177" t="s">
        <v>215</v>
      </c>
      <c r="AB232" s="177" t="s">
        <v>109</v>
      </c>
      <c r="AC232" s="177">
        <v>1.1000000000000001</v>
      </c>
      <c r="AD232" s="177" t="s">
        <v>1749</v>
      </c>
      <c r="AE232" s="177" t="s">
        <v>1729</v>
      </c>
      <c r="AF232" s="177">
        <v>1</v>
      </c>
      <c r="AG232" s="177">
        <v>20126</v>
      </c>
      <c r="AH232" s="177" t="s">
        <v>121</v>
      </c>
      <c r="AI232" s="177" t="b">
        <v>1</v>
      </c>
      <c r="AJ232" s="180">
        <v>43698</v>
      </c>
      <c r="AK232" s="177" t="s">
        <v>122</v>
      </c>
      <c r="AL232" s="177" t="s">
        <v>109</v>
      </c>
      <c r="AM232" s="177" t="s">
        <v>109</v>
      </c>
      <c r="AN232" s="177" t="b">
        <v>0</v>
      </c>
      <c r="AO232" s="177" t="s">
        <v>109</v>
      </c>
      <c r="AP232" s="177" t="s">
        <v>109</v>
      </c>
      <c r="AQ232" s="177" t="s">
        <v>109</v>
      </c>
      <c r="AR232" s="177" t="b">
        <v>0</v>
      </c>
      <c r="AS232" s="177" t="s">
        <v>123</v>
      </c>
      <c r="AT232" s="180" t="s">
        <v>123</v>
      </c>
      <c r="AU232" s="177" t="s">
        <v>124</v>
      </c>
      <c r="AV232" s="177" t="s">
        <v>109</v>
      </c>
      <c r="AW232" s="177" t="s">
        <v>109</v>
      </c>
      <c r="AX232" s="177" t="s">
        <v>109</v>
      </c>
      <c r="AY232" s="177" t="s">
        <v>135</v>
      </c>
      <c r="AZ232" s="177" t="s">
        <v>109</v>
      </c>
      <c r="BA232" s="177" t="s">
        <v>125</v>
      </c>
      <c r="BB232" s="177" t="s">
        <v>109</v>
      </c>
      <c r="BC232" s="177" t="s">
        <v>126</v>
      </c>
      <c r="BD232" s="177" t="s">
        <v>109</v>
      </c>
      <c r="BE232" s="180" t="s">
        <v>1750</v>
      </c>
      <c r="BF232" s="180" t="s">
        <v>152</v>
      </c>
      <c r="BG232" s="180" t="s">
        <v>1751</v>
      </c>
      <c r="BH232" s="177" t="s">
        <v>699</v>
      </c>
      <c r="BI232" s="177" t="s">
        <v>109</v>
      </c>
      <c r="BJ232" s="177" t="b">
        <v>0</v>
      </c>
      <c r="BK232" s="233">
        <v>999.99900000000002</v>
      </c>
      <c r="BL232" s="234" t="s">
        <v>128</v>
      </c>
      <c r="BM232" s="233">
        <v>1441.9852900000001</v>
      </c>
      <c r="BN232" s="233">
        <v>161.21349000000001</v>
      </c>
      <c r="BO232" s="233">
        <v>121.85254999999999</v>
      </c>
      <c r="BP232" s="233">
        <v>736.22488999999996</v>
      </c>
      <c r="BQ232" s="233">
        <v>396.48093999999998</v>
      </c>
      <c r="BR232" s="233">
        <v>26.020659999999999</v>
      </c>
      <c r="BS232" s="233">
        <v>0</v>
      </c>
      <c r="BT232" s="233">
        <v>0</v>
      </c>
      <c r="BU232" s="233">
        <v>0</v>
      </c>
      <c r="BV232" s="233">
        <v>0</v>
      </c>
      <c r="BW232" s="233">
        <v>0</v>
      </c>
      <c r="BX232" s="233">
        <v>0</v>
      </c>
      <c r="BY232" s="234">
        <v>0</v>
      </c>
      <c r="BZ232" s="236" t="s">
        <v>109</v>
      </c>
      <c r="CA232" s="236" t="s">
        <v>109</v>
      </c>
      <c r="CB232" s="236" t="s">
        <v>174</v>
      </c>
      <c r="CC232" s="233">
        <v>0</v>
      </c>
      <c r="CD232" s="233">
        <v>0</v>
      </c>
      <c r="CE232" s="233">
        <v>0</v>
      </c>
      <c r="CF232" s="233">
        <v>1415.9646299999999</v>
      </c>
      <c r="CG232" s="233">
        <v>26.020659999999999</v>
      </c>
      <c r="CH232" s="233">
        <v>0</v>
      </c>
      <c r="CI232" s="233">
        <v>0</v>
      </c>
      <c r="CJ232" s="237">
        <v>0</v>
      </c>
      <c r="CK232" s="177" t="s">
        <v>128</v>
      </c>
      <c r="CL232" s="177" t="s">
        <v>128</v>
      </c>
      <c r="CM232" s="155" t="s">
        <v>109</v>
      </c>
      <c r="CN232" s="229">
        <v>0</v>
      </c>
      <c r="CO232" s="229">
        <v>1</v>
      </c>
      <c r="CP232" t="s">
        <v>155</v>
      </c>
      <c r="CR232" s="248"/>
    </row>
    <row r="233" spans="1:96" ht="14.4" x14ac:dyDescent="0.3">
      <c r="A233">
        <v>230</v>
      </c>
      <c r="B233" s="173" t="s">
        <v>1752</v>
      </c>
      <c r="C233" s="259"/>
      <c r="D233" s="260"/>
      <c r="E233" t="s">
        <v>749</v>
      </c>
      <c r="F233" t="s">
        <v>1727</v>
      </c>
      <c r="G233" s="177" t="s">
        <v>688</v>
      </c>
      <c r="H233" s="177" t="s">
        <v>146</v>
      </c>
      <c r="I233" s="177" t="s">
        <v>109</v>
      </c>
      <c r="J233" s="177" t="s">
        <v>109</v>
      </c>
      <c r="K233" s="177" t="s">
        <v>1728</v>
      </c>
      <c r="L233" s="177" t="s">
        <v>251</v>
      </c>
      <c r="M233" s="177" t="s">
        <v>109</v>
      </c>
      <c r="N233" s="177" t="s">
        <v>109</v>
      </c>
      <c r="O233" s="180">
        <v>45698</v>
      </c>
      <c r="P233" s="177" t="s">
        <v>1753</v>
      </c>
      <c r="Q233" s="177" t="s">
        <v>109</v>
      </c>
      <c r="R233" s="177" t="s">
        <v>109</v>
      </c>
      <c r="S233" s="177" t="s">
        <v>109</v>
      </c>
      <c r="T233" s="177" t="s">
        <v>1733</v>
      </c>
      <c r="U233" s="177" t="s">
        <v>117</v>
      </c>
      <c r="V233" s="177" t="b">
        <v>0</v>
      </c>
      <c r="W233" s="177" t="s">
        <v>109</v>
      </c>
      <c r="X233" s="261"/>
      <c r="Y233" s="177" t="s">
        <v>109</v>
      </c>
      <c r="Z233" s="177" t="s">
        <v>109</v>
      </c>
      <c r="AA233" s="177" t="s">
        <v>215</v>
      </c>
      <c r="AB233" s="177" t="s">
        <v>109</v>
      </c>
      <c r="AC233" s="177">
        <v>1.1000000000000001</v>
      </c>
      <c r="AD233" s="177" t="s">
        <v>1754</v>
      </c>
      <c r="AE233" s="177" t="s">
        <v>1729</v>
      </c>
      <c r="AF233" s="177">
        <v>1</v>
      </c>
      <c r="AG233" s="177">
        <v>20126</v>
      </c>
      <c r="AH233" s="177" t="s">
        <v>121</v>
      </c>
      <c r="AI233" s="177" t="b">
        <v>1</v>
      </c>
      <c r="AJ233" s="180">
        <v>43530</v>
      </c>
      <c r="AK233" s="177" t="s">
        <v>122</v>
      </c>
      <c r="AL233" s="177" t="s">
        <v>109</v>
      </c>
      <c r="AM233" s="177" t="s">
        <v>109</v>
      </c>
      <c r="AN233" s="177" t="b">
        <v>0</v>
      </c>
      <c r="AO233" s="177" t="s">
        <v>109</v>
      </c>
      <c r="AP233" s="177" t="s">
        <v>109</v>
      </c>
      <c r="AQ233" s="177" t="s">
        <v>109</v>
      </c>
      <c r="AR233" s="177" t="b">
        <v>0</v>
      </c>
      <c r="AS233" s="177" t="s">
        <v>123</v>
      </c>
      <c r="AT233" s="180" t="s">
        <v>123</v>
      </c>
      <c r="AU233" s="177" t="s">
        <v>124</v>
      </c>
      <c r="AV233" s="177" t="s">
        <v>109</v>
      </c>
      <c r="AW233" s="177" t="s">
        <v>109</v>
      </c>
      <c r="AX233" s="177" t="s">
        <v>109</v>
      </c>
      <c r="AY233" s="177" t="s">
        <v>135</v>
      </c>
      <c r="AZ233" s="177" t="s">
        <v>109</v>
      </c>
      <c r="BA233" s="177" t="s">
        <v>125</v>
      </c>
      <c r="BB233" s="177" t="s">
        <v>109</v>
      </c>
      <c r="BC233" s="177" t="s">
        <v>126</v>
      </c>
      <c r="BD233" s="177" t="s">
        <v>109</v>
      </c>
      <c r="BE233" s="180" t="s">
        <v>1755</v>
      </c>
      <c r="BF233" s="180" t="s">
        <v>1068</v>
      </c>
      <c r="BG233" s="180" t="s">
        <v>1523</v>
      </c>
      <c r="BH233" s="177" t="s">
        <v>109</v>
      </c>
      <c r="BI233" s="177" t="s">
        <v>109</v>
      </c>
      <c r="BJ233" s="177" t="b">
        <v>0</v>
      </c>
      <c r="BK233" s="233">
        <v>80</v>
      </c>
      <c r="BL233" s="234" t="s">
        <v>128</v>
      </c>
      <c r="BM233" s="233">
        <v>1016.1745100000001</v>
      </c>
      <c r="BN233" s="233">
        <v>83.606009999999998</v>
      </c>
      <c r="BO233" s="233">
        <v>876.31293000000005</v>
      </c>
      <c r="BP233" s="233">
        <v>33.283009999999997</v>
      </c>
      <c r="BQ233" s="233">
        <v>22.97204</v>
      </c>
      <c r="BR233" s="233">
        <v>5.1999999999999995E-4</v>
      </c>
      <c r="BS233" s="233">
        <v>0</v>
      </c>
      <c r="BT233" s="233">
        <v>0</v>
      </c>
      <c r="BU233" s="233">
        <v>0</v>
      </c>
      <c r="BV233" s="233">
        <v>0</v>
      </c>
      <c r="BW233" s="233">
        <v>0</v>
      </c>
      <c r="BX233" s="233">
        <v>0</v>
      </c>
      <c r="BY233" s="234">
        <v>0</v>
      </c>
      <c r="BZ233" s="236" t="s">
        <v>109</v>
      </c>
      <c r="CA233" s="236" t="s">
        <v>109</v>
      </c>
      <c r="CB233" s="236" t="s">
        <v>460</v>
      </c>
      <c r="CC233" s="233">
        <v>0</v>
      </c>
      <c r="CD233" s="233">
        <v>959.91894000000002</v>
      </c>
      <c r="CE233" s="233">
        <v>33.283009999999997</v>
      </c>
      <c r="CF233" s="233">
        <v>22.97204</v>
      </c>
      <c r="CG233" s="233">
        <v>5.1999999999999995E-4</v>
      </c>
      <c r="CH233" s="233">
        <v>0</v>
      </c>
      <c r="CI233" s="233">
        <v>0</v>
      </c>
      <c r="CJ233" s="237">
        <v>0</v>
      </c>
      <c r="CK233" s="177" t="s">
        <v>128</v>
      </c>
      <c r="CL233" s="177" t="s">
        <v>128</v>
      </c>
      <c r="CM233" s="155" t="s">
        <v>109</v>
      </c>
      <c r="CN233" s="229">
        <v>0</v>
      </c>
      <c r="CO233" s="229">
        <v>1</v>
      </c>
      <c r="CP233" t="s">
        <v>155</v>
      </c>
      <c r="CR233" s="248"/>
    </row>
    <row r="234" spans="1:96" ht="14.4" x14ac:dyDescent="0.3">
      <c r="A234">
        <v>231</v>
      </c>
      <c r="B234" s="173" t="s">
        <v>1756</v>
      </c>
      <c r="C234" s="259"/>
      <c r="D234" s="260"/>
      <c r="E234" t="s">
        <v>191</v>
      </c>
      <c r="F234" t="s">
        <v>1727</v>
      </c>
      <c r="G234" s="177" t="s">
        <v>688</v>
      </c>
      <c r="H234" s="177" t="s">
        <v>146</v>
      </c>
      <c r="I234" s="177" t="s">
        <v>109</v>
      </c>
      <c r="J234" s="177" t="s">
        <v>109</v>
      </c>
      <c r="K234" s="177" t="s">
        <v>1728</v>
      </c>
      <c r="L234" s="177" t="s">
        <v>251</v>
      </c>
      <c r="M234" s="177" t="s">
        <v>109</v>
      </c>
      <c r="N234" s="177" t="s">
        <v>109</v>
      </c>
      <c r="O234" s="180">
        <v>45696</v>
      </c>
      <c r="P234" s="177" t="s">
        <v>1757</v>
      </c>
      <c r="Q234" s="177" t="s">
        <v>109</v>
      </c>
      <c r="R234" s="177" t="s">
        <v>109</v>
      </c>
      <c r="S234" s="177" t="s">
        <v>109</v>
      </c>
      <c r="T234" s="177" t="s">
        <v>1733</v>
      </c>
      <c r="U234" s="177" t="s">
        <v>117</v>
      </c>
      <c r="V234" s="177" t="b">
        <v>0</v>
      </c>
      <c r="W234" s="177" t="s">
        <v>109</v>
      </c>
      <c r="X234" s="261"/>
      <c r="Y234" s="177">
        <v>0.1</v>
      </c>
      <c r="Z234" s="177" t="s">
        <v>109</v>
      </c>
      <c r="AA234" s="177" t="s">
        <v>215</v>
      </c>
      <c r="AB234" s="177" t="s">
        <v>109</v>
      </c>
      <c r="AC234" s="177">
        <v>1.1000000000000001</v>
      </c>
      <c r="AD234" s="177" t="s">
        <v>1758</v>
      </c>
      <c r="AE234" s="177" t="s">
        <v>1729</v>
      </c>
      <c r="AF234" s="177">
        <v>1</v>
      </c>
      <c r="AG234" s="177">
        <v>20126</v>
      </c>
      <c r="AH234" s="177" t="s">
        <v>121</v>
      </c>
      <c r="AI234" s="177" t="b">
        <v>1</v>
      </c>
      <c r="AJ234" s="180">
        <v>42989</v>
      </c>
      <c r="AK234" s="177" t="s">
        <v>122</v>
      </c>
      <c r="AL234" s="177" t="s">
        <v>109</v>
      </c>
      <c r="AM234" s="177" t="s">
        <v>109</v>
      </c>
      <c r="AN234" s="177" t="b">
        <v>0</v>
      </c>
      <c r="AO234" s="177" t="s">
        <v>109</v>
      </c>
      <c r="AP234" s="177" t="s">
        <v>109</v>
      </c>
      <c r="AQ234" s="177" t="s">
        <v>109</v>
      </c>
      <c r="AR234" s="177" t="b">
        <v>0</v>
      </c>
      <c r="AS234" s="177" t="s">
        <v>123</v>
      </c>
      <c r="AT234" s="180" t="s">
        <v>123</v>
      </c>
      <c r="AU234" s="177" t="s">
        <v>124</v>
      </c>
      <c r="AV234" s="177" t="s">
        <v>109</v>
      </c>
      <c r="AW234" s="177" t="s">
        <v>109</v>
      </c>
      <c r="AX234" s="177" t="s">
        <v>109</v>
      </c>
      <c r="AY234" s="177" t="s">
        <v>135</v>
      </c>
      <c r="AZ234" s="177" t="s">
        <v>109</v>
      </c>
      <c r="BA234" s="177" t="s">
        <v>125</v>
      </c>
      <c r="BB234" s="177" t="s">
        <v>109</v>
      </c>
      <c r="BC234" s="177" t="s">
        <v>126</v>
      </c>
      <c r="BD234" s="177" t="s">
        <v>109</v>
      </c>
      <c r="BE234" s="180" t="s">
        <v>1759</v>
      </c>
      <c r="BF234" s="180" t="s">
        <v>1324</v>
      </c>
      <c r="BG234" s="180" t="s">
        <v>1760</v>
      </c>
      <c r="BH234" s="177" t="s">
        <v>699</v>
      </c>
      <c r="BI234" s="177" t="s">
        <v>109</v>
      </c>
      <c r="BJ234" s="177" t="b">
        <v>0</v>
      </c>
      <c r="BK234" s="233">
        <v>80</v>
      </c>
      <c r="BL234" s="234" t="s">
        <v>128</v>
      </c>
      <c r="BM234" s="233">
        <v>1868.35501</v>
      </c>
      <c r="BN234" s="233">
        <v>1141.65021</v>
      </c>
      <c r="BO234" s="233">
        <v>228.21530000000001</v>
      </c>
      <c r="BP234" s="233">
        <v>-11.969340000000001</v>
      </c>
      <c r="BQ234" s="233">
        <v>8.6112199999999994</v>
      </c>
      <c r="BR234" s="233">
        <v>0</v>
      </c>
      <c r="BS234" s="233">
        <v>0</v>
      </c>
      <c r="BT234" s="233">
        <v>0</v>
      </c>
      <c r="BU234" s="233">
        <v>0</v>
      </c>
      <c r="BV234" s="233">
        <v>0</v>
      </c>
      <c r="BW234" s="233">
        <v>0</v>
      </c>
      <c r="BX234" s="233">
        <v>0</v>
      </c>
      <c r="BY234" s="234">
        <v>0</v>
      </c>
      <c r="BZ234" s="236" t="s">
        <v>109</v>
      </c>
      <c r="CA234" s="236" t="s">
        <v>109</v>
      </c>
      <c r="CB234" s="236" t="s">
        <v>807</v>
      </c>
      <c r="CC234" s="233">
        <v>1643.49783</v>
      </c>
      <c r="CD234" s="233">
        <v>228.21530000000001</v>
      </c>
      <c r="CE234" s="233">
        <v>-11.969340000000001</v>
      </c>
      <c r="CF234" s="233">
        <v>8.6112199999999994</v>
      </c>
      <c r="CG234" s="233">
        <v>0</v>
      </c>
      <c r="CH234" s="233">
        <v>0</v>
      </c>
      <c r="CI234" s="233">
        <v>0</v>
      </c>
      <c r="CJ234" s="237">
        <v>0</v>
      </c>
      <c r="CK234" s="177" t="s">
        <v>128</v>
      </c>
      <c r="CL234" s="177" t="s">
        <v>128</v>
      </c>
      <c r="CM234" s="155" t="s">
        <v>109</v>
      </c>
      <c r="CN234" s="229">
        <v>0</v>
      </c>
      <c r="CO234" s="229">
        <v>1</v>
      </c>
      <c r="CP234" t="s">
        <v>155</v>
      </c>
      <c r="CR234" s="248"/>
    </row>
    <row r="235" spans="1:96" ht="14.4" x14ac:dyDescent="0.3">
      <c r="A235">
        <v>232</v>
      </c>
      <c r="B235" s="173" t="s">
        <v>1761</v>
      </c>
      <c r="C235" s="259"/>
      <c r="D235" s="260"/>
      <c r="E235" t="s">
        <v>329</v>
      </c>
      <c r="F235" t="s">
        <v>1727</v>
      </c>
      <c r="G235" s="177" t="s">
        <v>688</v>
      </c>
      <c r="H235" s="177" t="s">
        <v>146</v>
      </c>
      <c r="I235" s="177" t="s">
        <v>109</v>
      </c>
      <c r="J235" s="177" t="s">
        <v>109</v>
      </c>
      <c r="K235" s="177" t="s">
        <v>1728</v>
      </c>
      <c r="L235" s="177" t="s">
        <v>251</v>
      </c>
      <c r="M235" s="177" t="s">
        <v>109</v>
      </c>
      <c r="N235" s="177" t="s">
        <v>109</v>
      </c>
      <c r="O235" s="180" t="s">
        <v>1762</v>
      </c>
      <c r="P235" s="177" t="s">
        <v>1763</v>
      </c>
      <c r="Q235" s="177" t="s">
        <v>109</v>
      </c>
      <c r="R235" s="177" t="s">
        <v>109</v>
      </c>
      <c r="S235" s="177" t="s">
        <v>109</v>
      </c>
      <c r="T235" s="177" t="s">
        <v>1733</v>
      </c>
      <c r="U235" s="177" t="s">
        <v>117</v>
      </c>
      <c r="V235" s="177" t="b">
        <v>0</v>
      </c>
      <c r="W235" s="177" t="s">
        <v>109</v>
      </c>
      <c r="X235" s="261"/>
      <c r="Y235" s="177">
        <v>0.1</v>
      </c>
      <c r="Z235" s="177" t="s">
        <v>109</v>
      </c>
      <c r="AA235" s="177" t="s">
        <v>215</v>
      </c>
      <c r="AB235" s="177" t="s">
        <v>109</v>
      </c>
      <c r="AC235" s="177">
        <v>1.1000000000000001</v>
      </c>
      <c r="AD235" s="177" t="s">
        <v>1764</v>
      </c>
      <c r="AE235" s="177" t="s">
        <v>1729</v>
      </c>
      <c r="AF235" s="177">
        <v>1</v>
      </c>
      <c r="AG235" s="177">
        <v>20126</v>
      </c>
      <c r="AH235" s="177" t="s">
        <v>121</v>
      </c>
      <c r="AI235" s="177" t="b">
        <v>1</v>
      </c>
      <c r="AJ235" s="180" t="s">
        <v>1765</v>
      </c>
      <c r="AK235" s="177" t="s">
        <v>122</v>
      </c>
      <c r="AL235" s="177" t="s">
        <v>109</v>
      </c>
      <c r="AM235" s="177" t="s">
        <v>109</v>
      </c>
      <c r="AN235" s="177" t="b">
        <v>0</v>
      </c>
      <c r="AO235" s="177" t="s">
        <v>109</v>
      </c>
      <c r="AP235" s="177" t="s">
        <v>109</v>
      </c>
      <c r="AQ235" s="177" t="s">
        <v>109</v>
      </c>
      <c r="AR235" s="177" t="b">
        <v>0</v>
      </c>
      <c r="AS235" s="177" t="s">
        <v>123</v>
      </c>
      <c r="AT235" s="180" t="s">
        <v>123</v>
      </c>
      <c r="AU235" s="177" t="s">
        <v>124</v>
      </c>
      <c r="AV235" s="177" t="s">
        <v>109</v>
      </c>
      <c r="AW235" s="177" t="s">
        <v>109</v>
      </c>
      <c r="AX235" s="177" t="s">
        <v>109</v>
      </c>
      <c r="AY235" s="177" t="s">
        <v>135</v>
      </c>
      <c r="AZ235" s="177" t="s">
        <v>109</v>
      </c>
      <c r="BA235" s="177" t="s">
        <v>125</v>
      </c>
      <c r="BB235" s="177" t="s">
        <v>109</v>
      </c>
      <c r="BC235" s="177" t="s">
        <v>126</v>
      </c>
      <c r="BD235" s="177" t="s">
        <v>109</v>
      </c>
      <c r="BE235" s="180" t="s">
        <v>1766</v>
      </c>
      <c r="BF235" s="180" t="s">
        <v>1767</v>
      </c>
      <c r="BG235" s="180" t="s">
        <v>1768</v>
      </c>
      <c r="BH235" s="177" t="s">
        <v>699</v>
      </c>
      <c r="BI235" s="177" t="s">
        <v>534</v>
      </c>
      <c r="BJ235" s="177" t="b">
        <v>1</v>
      </c>
      <c r="BK235" s="233">
        <v>229.47654</v>
      </c>
      <c r="BL235" s="234" t="s">
        <v>128</v>
      </c>
      <c r="BM235" s="233">
        <v>1814.37439214355</v>
      </c>
      <c r="BN235" s="233">
        <v>129.45119</v>
      </c>
      <c r="BO235" s="233">
        <v>63.804070000000003</v>
      </c>
      <c r="BP235" s="233">
        <v>373.71490999999997</v>
      </c>
      <c r="BQ235" s="233">
        <v>700.62809000000004</v>
      </c>
      <c r="BR235" s="233">
        <v>276.58927999999997</v>
      </c>
      <c r="BS235" s="233">
        <v>69.372370000000004</v>
      </c>
      <c r="BT235" s="233">
        <v>34.0910321</v>
      </c>
      <c r="BU235" s="233">
        <v>0</v>
      </c>
      <c r="BV235" s="233">
        <v>0</v>
      </c>
      <c r="BW235" s="233">
        <v>0</v>
      </c>
      <c r="BX235" s="233">
        <v>0</v>
      </c>
      <c r="BY235" s="234">
        <v>1780.2833600435501</v>
      </c>
      <c r="BZ235" s="236" t="s">
        <v>109</v>
      </c>
      <c r="CA235" s="236" t="s">
        <v>109</v>
      </c>
      <c r="CB235" s="236">
        <v>2025</v>
      </c>
      <c r="CC235" s="233">
        <v>0</v>
      </c>
      <c r="CD235" s="233">
        <v>0</v>
      </c>
      <c r="CE235" s="233">
        <v>0</v>
      </c>
      <c r="CF235" s="233">
        <v>0</v>
      </c>
      <c r="CG235" s="233">
        <v>0</v>
      </c>
      <c r="CH235" s="233">
        <v>0</v>
      </c>
      <c r="CI235" s="233">
        <v>1814.3743921</v>
      </c>
      <c r="CJ235" s="237">
        <v>0</v>
      </c>
      <c r="CK235" s="177" t="s">
        <v>128</v>
      </c>
      <c r="CL235" s="177" t="s">
        <v>128</v>
      </c>
      <c r="CM235" s="155" t="s">
        <v>109</v>
      </c>
      <c r="CN235" s="229">
        <v>0</v>
      </c>
      <c r="CO235" s="229">
        <v>1</v>
      </c>
      <c r="CP235" t="s">
        <v>1769</v>
      </c>
      <c r="CR235" s="248"/>
    </row>
    <row r="236" spans="1:96" ht="14.4" x14ac:dyDescent="0.3">
      <c r="A236">
        <v>233</v>
      </c>
      <c r="B236" s="173" t="s">
        <v>1770</v>
      </c>
      <c r="C236" s="259"/>
      <c r="D236" s="260"/>
      <c r="E236" t="s">
        <v>329</v>
      </c>
      <c r="F236" t="s">
        <v>1727</v>
      </c>
      <c r="G236" s="177" t="s">
        <v>688</v>
      </c>
      <c r="H236" s="177" t="s">
        <v>146</v>
      </c>
      <c r="I236" s="177" t="s">
        <v>109</v>
      </c>
      <c r="J236" s="177" t="s">
        <v>109</v>
      </c>
      <c r="K236" s="177" t="s">
        <v>1728</v>
      </c>
      <c r="L236" s="177" t="s">
        <v>251</v>
      </c>
      <c r="M236" s="177" t="s">
        <v>109</v>
      </c>
      <c r="N236" s="177" t="s">
        <v>109</v>
      </c>
      <c r="O236" s="180">
        <v>45699</v>
      </c>
      <c r="P236" s="177" t="s">
        <v>676</v>
      </c>
      <c r="Q236" s="177" t="s">
        <v>109</v>
      </c>
      <c r="R236" s="177" t="s">
        <v>109</v>
      </c>
      <c r="S236" s="177" t="s">
        <v>109</v>
      </c>
      <c r="T236" s="177" t="s">
        <v>1733</v>
      </c>
      <c r="U236" s="177" t="s">
        <v>117</v>
      </c>
      <c r="V236" s="177" t="b">
        <v>0</v>
      </c>
      <c r="W236" s="177" t="s">
        <v>109</v>
      </c>
      <c r="X236" s="261"/>
      <c r="Y236" s="177" t="s">
        <v>109</v>
      </c>
      <c r="Z236" s="177" t="s">
        <v>109</v>
      </c>
      <c r="AA236" s="177" t="s">
        <v>1771</v>
      </c>
      <c r="AB236" s="177" t="s">
        <v>109</v>
      </c>
      <c r="AC236" s="177">
        <v>1.1000000000000001</v>
      </c>
      <c r="AD236" s="177" t="s">
        <v>1772</v>
      </c>
      <c r="AE236" s="177" t="s">
        <v>1729</v>
      </c>
      <c r="AF236" s="177">
        <v>1</v>
      </c>
      <c r="AG236" s="177">
        <v>20126</v>
      </c>
      <c r="AH236" s="177" t="s">
        <v>121</v>
      </c>
      <c r="AI236" s="177" t="b">
        <v>1</v>
      </c>
      <c r="AJ236" s="180">
        <v>42164</v>
      </c>
      <c r="AK236" s="177" t="s">
        <v>122</v>
      </c>
      <c r="AL236" s="177" t="s">
        <v>109</v>
      </c>
      <c r="AM236" s="177" t="s">
        <v>109</v>
      </c>
      <c r="AN236" s="177" t="b">
        <v>0</v>
      </c>
      <c r="AO236" s="177" t="s">
        <v>109</v>
      </c>
      <c r="AP236" s="177" t="s">
        <v>109</v>
      </c>
      <c r="AQ236" s="177" t="s">
        <v>109</v>
      </c>
      <c r="AR236" s="177" t="b">
        <v>0</v>
      </c>
      <c r="AS236" s="177" t="s">
        <v>123</v>
      </c>
      <c r="AT236" s="180" t="s">
        <v>123</v>
      </c>
      <c r="AU236" s="177" t="s">
        <v>124</v>
      </c>
      <c r="AV236" s="177" t="s">
        <v>109</v>
      </c>
      <c r="AW236" s="177" t="s">
        <v>109</v>
      </c>
      <c r="AX236" s="177" t="s">
        <v>109</v>
      </c>
      <c r="AY236" s="177" t="s">
        <v>135</v>
      </c>
      <c r="AZ236" s="177" t="s">
        <v>109</v>
      </c>
      <c r="BA236" s="177" t="s">
        <v>125</v>
      </c>
      <c r="BB236" s="177" t="s">
        <v>109</v>
      </c>
      <c r="BC236" s="177" t="s">
        <v>126</v>
      </c>
      <c r="BD236" s="177" t="s">
        <v>109</v>
      </c>
      <c r="BE236" s="180" t="s">
        <v>1773</v>
      </c>
      <c r="BF236" s="180" t="s">
        <v>1774</v>
      </c>
      <c r="BG236" s="180" t="s">
        <v>1775</v>
      </c>
      <c r="BH236" s="177" t="s">
        <v>699</v>
      </c>
      <c r="BI236" s="177" t="s">
        <v>326</v>
      </c>
      <c r="BJ236" s="177" t="b">
        <v>0</v>
      </c>
      <c r="BK236" s="233">
        <v>229.47654</v>
      </c>
      <c r="BL236" s="234" t="s">
        <v>128</v>
      </c>
      <c r="BM236" s="233">
        <v>1589.01675</v>
      </c>
      <c r="BN236" s="233">
        <v>1150.5840499999999</v>
      </c>
      <c r="BO236" s="233">
        <v>121.70238000000001</v>
      </c>
      <c r="BP236" s="233">
        <v>77.78031</v>
      </c>
      <c r="BQ236" s="233">
        <v>11.339919999999999</v>
      </c>
      <c r="BR236" s="233">
        <v>0.56294999999999995</v>
      </c>
      <c r="BS236" s="233">
        <v>0</v>
      </c>
      <c r="BT236" s="233">
        <v>0</v>
      </c>
      <c r="BU236" s="233">
        <v>0</v>
      </c>
      <c r="BV236" s="233">
        <v>0</v>
      </c>
      <c r="BW236" s="233">
        <v>0</v>
      </c>
      <c r="BX236" s="233">
        <v>0</v>
      </c>
      <c r="BY236" s="234">
        <v>0</v>
      </c>
      <c r="BZ236" s="236" t="s">
        <v>109</v>
      </c>
      <c r="CA236" s="236" t="s">
        <v>109</v>
      </c>
      <c r="CB236" s="236" t="s">
        <v>460</v>
      </c>
      <c r="CC236" s="233">
        <v>0</v>
      </c>
      <c r="CD236" s="233">
        <v>1499.33357</v>
      </c>
      <c r="CE236" s="233">
        <v>77.78031</v>
      </c>
      <c r="CF236" s="233">
        <v>11.339919999999999</v>
      </c>
      <c r="CG236" s="233">
        <v>0.56294999999999995</v>
      </c>
      <c r="CH236" s="233">
        <v>0</v>
      </c>
      <c r="CI236" s="233">
        <v>0</v>
      </c>
      <c r="CJ236" s="237">
        <v>0</v>
      </c>
      <c r="CK236" s="177" t="s">
        <v>128</v>
      </c>
      <c r="CL236" s="177" t="s">
        <v>128</v>
      </c>
      <c r="CM236" s="155" t="s">
        <v>109</v>
      </c>
      <c r="CN236" s="229">
        <v>0</v>
      </c>
      <c r="CO236" s="229">
        <v>1</v>
      </c>
      <c r="CP236" t="s">
        <v>155</v>
      </c>
      <c r="CR236" s="248"/>
    </row>
    <row r="237" spans="1:96" ht="14.4" x14ac:dyDescent="0.3">
      <c r="A237">
        <v>234</v>
      </c>
      <c r="B237" s="173" t="s">
        <v>1776</v>
      </c>
      <c r="C237" s="259"/>
      <c r="D237" s="260"/>
      <c r="E237" t="s">
        <v>329</v>
      </c>
      <c r="F237" t="s">
        <v>1727</v>
      </c>
      <c r="G237" s="177" t="s">
        <v>688</v>
      </c>
      <c r="H237" s="177" t="s">
        <v>146</v>
      </c>
      <c r="I237" s="177" t="s">
        <v>109</v>
      </c>
      <c r="J237" s="177" t="s">
        <v>109</v>
      </c>
      <c r="K237" s="177" t="s">
        <v>1728</v>
      </c>
      <c r="L237" s="177" t="s">
        <v>251</v>
      </c>
      <c r="M237" s="177" t="s">
        <v>109</v>
      </c>
      <c r="N237" s="177" t="s">
        <v>109</v>
      </c>
      <c r="O237" s="180">
        <v>45703</v>
      </c>
      <c r="P237" s="177" t="s">
        <v>1777</v>
      </c>
      <c r="Q237" s="177" t="s">
        <v>109</v>
      </c>
      <c r="R237" s="177" t="s">
        <v>109</v>
      </c>
      <c r="S237" s="177" t="s">
        <v>109</v>
      </c>
      <c r="T237" s="177" t="s">
        <v>1733</v>
      </c>
      <c r="U237" s="177" t="s">
        <v>117</v>
      </c>
      <c r="V237" s="177" t="b">
        <v>0</v>
      </c>
      <c r="W237" s="177" t="s">
        <v>109</v>
      </c>
      <c r="X237" s="261"/>
      <c r="Y237" s="177" t="s">
        <v>109</v>
      </c>
      <c r="Z237" s="177" t="s">
        <v>109</v>
      </c>
      <c r="AA237" s="177" t="s">
        <v>215</v>
      </c>
      <c r="AB237" s="177" t="s">
        <v>109</v>
      </c>
      <c r="AC237" s="177">
        <v>1.1000000000000001</v>
      </c>
      <c r="AD237" s="177" t="s">
        <v>1778</v>
      </c>
      <c r="AE237" s="177" t="s">
        <v>1729</v>
      </c>
      <c r="AF237" s="177">
        <v>1</v>
      </c>
      <c r="AG237" s="177">
        <v>20126</v>
      </c>
      <c r="AH237" s="177" t="s">
        <v>121</v>
      </c>
      <c r="AI237" s="177" t="b">
        <v>1</v>
      </c>
      <c r="AJ237" s="180">
        <v>42332</v>
      </c>
      <c r="AK237" s="177" t="s">
        <v>122</v>
      </c>
      <c r="AL237" s="177" t="s">
        <v>109</v>
      </c>
      <c r="AM237" s="177" t="s">
        <v>109</v>
      </c>
      <c r="AN237" s="177" t="b">
        <v>0</v>
      </c>
      <c r="AO237" s="177" t="s">
        <v>109</v>
      </c>
      <c r="AP237" s="177" t="s">
        <v>109</v>
      </c>
      <c r="AQ237" s="177" t="s">
        <v>109</v>
      </c>
      <c r="AR237" s="177" t="b">
        <v>0</v>
      </c>
      <c r="AS237" s="177" t="s">
        <v>123</v>
      </c>
      <c r="AT237" s="180" t="s">
        <v>123</v>
      </c>
      <c r="AU237" s="177" t="s">
        <v>124</v>
      </c>
      <c r="AV237" s="177" t="s">
        <v>109</v>
      </c>
      <c r="AW237" s="177" t="s">
        <v>109</v>
      </c>
      <c r="AX237" s="177" t="s">
        <v>109</v>
      </c>
      <c r="AY237" s="177" t="s">
        <v>135</v>
      </c>
      <c r="AZ237" s="177" t="s">
        <v>109</v>
      </c>
      <c r="BA237" s="177" t="s">
        <v>125</v>
      </c>
      <c r="BB237" s="177" t="s">
        <v>109</v>
      </c>
      <c r="BC237" s="177" t="s">
        <v>126</v>
      </c>
      <c r="BD237" s="177" t="s">
        <v>109</v>
      </c>
      <c r="BE237" s="180" t="s">
        <v>1779</v>
      </c>
      <c r="BF237" s="180" t="s">
        <v>1774</v>
      </c>
      <c r="BG237" s="180" t="s">
        <v>1457</v>
      </c>
      <c r="BH237" s="177" t="s">
        <v>699</v>
      </c>
      <c r="BI237" s="177" t="s">
        <v>109</v>
      </c>
      <c r="BJ237" s="177" t="b">
        <v>1</v>
      </c>
      <c r="BK237" s="233">
        <v>9.9990000000000006</v>
      </c>
      <c r="BL237" s="234" t="s">
        <v>128</v>
      </c>
      <c r="BM237" s="233">
        <v>1260.63267</v>
      </c>
      <c r="BN237" s="233">
        <v>993.42435</v>
      </c>
      <c r="BO237" s="233">
        <v>2.8198599999999998</v>
      </c>
      <c r="BP237" s="233">
        <v>6.80328</v>
      </c>
      <c r="BQ237" s="233">
        <v>16.544090000000001</v>
      </c>
      <c r="BR237" s="233">
        <v>0</v>
      </c>
      <c r="BS237" s="233">
        <v>0.2772</v>
      </c>
      <c r="BT237" s="233">
        <v>0</v>
      </c>
      <c r="BU237" s="233">
        <v>0</v>
      </c>
      <c r="BV237" s="233">
        <v>0</v>
      </c>
      <c r="BW237" s="233">
        <v>0</v>
      </c>
      <c r="BX237" s="233">
        <v>0</v>
      </c>
      <c r="BY237" s="234">
        <v>0</v>
      </c>
      <c r="BZ237" s="236" t="s">
        <v>109</v>
      </c>
      <c r="CA237" s="236" t="s">
        <v>109</v>
      </c>
      <c r="CB237" s="236" t="s">
        <v>1780</v>
      </c>
      <c r="CC237" s="233">
        <v>1234.18824</v>
      </c>
      <c r="CD237" s="233">
        <v>2.8198599999999998</v>
      </c>
      <c r="CE237" s="233">
        <v>6.80328</v>
      </c>
      <c r="CF237" s="233">
        <v>16.544090000000001</v>
      </c>
      <c r="CG237" s="233">
        <v>0</v>
      </c>
      <c r="CH237" s="233">
        <v>0.2772</v>
      </c>
      <c r="CI237" s="233">
        <v>0</v>
      </c>
      <c r="CJ237" s="237">
        <v>0</v>
      </c>
      <c r="CK237" s="177" t="s">
        <v>128</v>
      </c>
      <c r="CL237" s="177" t="s">
        <v>128</v>
      </c>
      <c r="CM237" s="155" t="s">
        <v>109</v>
      </c>
      <c r="CN237" s="229">
        <v>0</v>
      </c>
      <c r="CO237" s="229">
        <v>1</v>
      </c>
      <c r="CP237" t="s">
        <v>155</v>
      </c>
      <c r="CR237" s="248"/>
    </row>
    <row r="238" spans="1:96" ht="14.4" x14ac:dyDescent="0.3">
      <c r="A238">
        <v>235</v>
      </c>
      <c r="B238" s="173" t="s">
        <v>1781</v>
      </c>
      <c r="C238" s="259"/>
      <c r="D238" s="260"/>
      <c r="E238" t="s">
        <v>353</v>
      </c>
      <c r="F238" t="s">
        <v>1727</v>
      </c>
      <c r="G238" s="177" t="s">
        <v>688</v>
      </c>
      <c r="H238" s="177" t="s">
        <v>146</v>
      </c>
      <c r="I238" s="177" t="s">
        <v>109</v>
      </c>
      <c r="J238" s="177" t="s">
        <v>109</v>
      </c>
      <c r="K238" s="177" t="s">
        <v>1728</v>
      </c>
      <c r="L238" s="177" t="s">
        <v>251</v>
      </c>
      <c r="M238" s="177" t="s">
        <v>109</v>
      </c>
      <c r="N238" s="177" t="s">
        <v>109</v>
      </c>
      <c r="O238" s="180">
        <v>45687</v>
      </c>
      <c r="P238" s="177" t="s">
        <v>1568</v>
      </c>
      <c r="Q238" s="177" t="s">
        <v>109</v>
      </c>
      <c r="R238" s="177" t="s">
        <v>109</v>
      </c>
      <c r="S238" s="177" t="s">
        <v>109</v>
      </c>
      <c r="T238" s="177" t="s">
        <v>1733</v>
      </c>
      <c r="U238" s="177" t="s">
        <v>117</v>
      </c>
      <c r="V238" s="177" t="b">
        <v>0</v>
      </c>
      <c r="W238" s="177" t="s">
        <v>109</v>
      </c>
      <c r="X238" s="261"/>
      <c r="Y238" s="177" t="s">
        <v>1782</v>
      </c>
      <c r="Z238" s="177" t="s">
        <v>109</v>
      </c>
      <c r="AA238" s="177" t="s">
        <v>215</v>
      </c>
      <c r="AB238" s="177" t="s">
        <v>109</v>
      </c>
      <c r="AC238" s="177">
        <v>1.1000000000000001</v>
      </c>
      <c r="AD238" s="177" t="s">
        <v>1783</v>
      </c>
      <c r="AE238" s="177" t="s">
        <v>1729</v>
      </c>
      <c r="AF238" s="177">
        <v>1</v>
      </c>
      <c r="AG238" s="177">
        <v>20126</v>
      </c>
      <c r="AH238" s="177" t="s">
        <v>121</v>
      </c>
      <c r="AI238" s="177" t="b">
        <v>1</v>
      </c>
      <c r="AJ238" s="180">
        <v>42909</v>
      </c>
      <c r="AK238" s="177" t="s">
        <v>122</v>
      </c>
      <c r="AL238" s="177" t="s">
        <v>109</v>
      </c>
      <c r="AM238" s="177" t="s">
        <v>109</v>
      </c>
      <c r="AN238" s="177" t="b">
        <v>0</v>
      </c>
      <c r="AO238" s="177" t="s">
        <v>109</v>
      </c>
      <c r="AP238" s="177" t="s">
        <v>109</v>
      </c>
      <c r="AQ238" s="177" t="s">
        <v>109</v>
      </c>
      <c r="AR238" s="177" t="b">
        <v>0</v>
      </c>
      <c r="AS238" s="177" t="s">
        <v>123</v>
      </c>
      <c r="AT238" s="180" t="s">
        <v>123</v>
      </c>
      <c r="AU238" s="177" t="s">
        <v>124</v>
      </c>
      <c r="AV238" s="177" t="s">
        <v>109</v>
      </c>
      <c r="AW238" s="177" t="s">
        <v>109</v>
      </c>
      <c r="AX238" s="177" t="s">
        <v>109</v>
      </c>
      <c r="AY238" s="177" t="s">
        <v>135</v>
      </c>
      <c r="AZ238" s="177" t="s">
        <v>109</v>
      </c>
      <c r="BA238" s="177" t="s">
        <v>125</v>
      </c>
      <c r="BB238" s="177" t="s">
        <v>109</v>
      </c>
      <c r="BC238" s="177" t="s">
        <v>126</v>
      </c>
      <c r="BD238" s="177" t="s">
        <v>109</v>
      </c>
      <c r="BE238" s="180" t="s">
        <v>1784</v>
      </c>
      <c r="BF238" s="180" t="s">
        <v>137</v>
      </c>
      <c r="BG238" s="180" t="s">
        <v>1785</v>
      </c>
      <c r="BH238" s="177" t="s">
        <v>109</v>
      </c>
      <c r="BI238" s="177" t="s">
        <v>109</v>
      </c>
      <c r="BJ238" s="177" t="b">
        <v>0</v>
      </c>
      <c r="BK238" s="233">
        <v>2584</v>
      </c>
      <c r="BL238" s="234" t="s">
        <v>128</v>
      </c>
      <c r="BM238" s="233">
        <v>2589.5530600000002</v>
      </c>
      <c r="BN238" s="233">
        <v>944.34196999999995</v>
      </c>
      <c r="BO238" s="233">
        <v>61.423029999999997</v>
      </c>
      <c r="BP238" s="233">
        <v>12.885999999999999</v>
      </c>
      <c r="BQ238" s="233">
        <v>42.158790000000003</v>
      </c>
      <c r="BR238" s="233">
        <v>61.442390000000003</v>
      </c>
      <c r="BS238" s="233">
        <v>0</v>
      </c>
      <c r="BT238" s="233">
        <v>0</v>
      </c>
      <c r="BU238" s="233">
        <v>0</v>
      </c>
      <c r="BV238" s="233">
        <v>0</v>
      </c>
      <c r="BW238" s="233">
        <v>0</v>
      </c>
      <c r="BX238" s="233">
        <v>0</v>
      </c>
      <c r="BY238" s="234">
        <v>0</v>
      </c>
      <c r="BZ238" s="236" t="s">
        <v>109</v>
      </c>
      <c r="CA238" s="236" t="s">
        <v>109</v>
      </c>
      <c r="CB238" s="236" t="s">
        <v>528</v>
      </c>
      <c r="CC238" s="233">
        <v>2411.6428500000002</v>
      </c>
      <c r="CD238" s="233">
        <v>61.423029999999997</v>
      </c>
      <c r="CE238" s="233">
        <v>12.885999999999999</v>
      </c>
      <c r="CF238" s="233">
        <v>42.158790000000003</v>
      </c>
      <c r="CG238" s="233">
        <v>61.442390000000003</v>
      </c>
      <c r="CH238" s="233">
        <v>0</v>
      </c>
      <c r="CI238" s="233">
        <v>0</v>
      </c>
      <c r="CJ238" s="237">
        <v>0</v>
      </c>
      <c r="CK238" s="177" t="s">
        <v>128</v>
      </c>
      <c r="CL238" s="177" t="s">
        <v>128</v>
      </c>
      <c r="CM238" s="155" t="s">
        <v>109</v>
      </c>
      <c r="CN238" s="229">
        <v>0</v>
      </c>
      <c r="CO238" s="229">
        <v>1</v>
      </c>
      <c r="CP238" t="s">
        <v>155</v>
      </c>
      <c r="CR238" s="248"/>
    </row>
    <row r="239" spans="1:96" ht="14.4" x14ac:dyDescent="0.3">
      <c r="A239">
        <v>236</v>
      </c>
      <c r="B239" s="173" t="s">
        <v>1786</v>
      </c>
      <c r="C239" s="259"/>
      <c r="D239" s="260"/>
      <c r="E239" t="s">
        <v>329</v>
      </c>
      <c r="F239" t="s">
        <v>1727</v>
      </c>
      <c r="G239" s="177" t="s">
        <v>688</v>
      </c>
      <c r="H239" s="177" t="s">
        <v>146</v>
      </c>
      <c r="I239" s="177" t="s">
        <v>109</v>
      </c>
      <c r="J239" s="177" t="s">
        <v>109</v>
      </c>
      <c r="K239" s="177" t="s">
        <v>1728</v>
      </c>
      <c r="L239" s="177" t="s">
        <v>251</v>
      </c>
      <c r="M239" s="177" t="s">
        <v>109</v>
      </c>
      <c r="N239" s="177" t="s">
        <v>109</v>
      </c>
      <c r="O239" s="180">
        <v>45699</v>
      </c>
      <c r="P239" s="177" t="s">
        <v>1189</v>
      </c>
      <c r="Q239" s="177" t="s">
        <v>109</v>
      </c>
      <c r="R239" s="177" t="s">
        <v>109</v>
      </c>
      <c r="S239" s="177" t="s">
        <v>109</v>
      </c>
      <c r="T239" s="177" t="s">
        <v>1733</v>
      </c>
      <c r="U239" s="177" t="s">
        <v>117</v>
      </c>
      <c r="V239" s="177" t="b">
        <v>0</v>
      </c>
      <c r="W239" s="177" t="s">
        <v>109</v>
      </c>
      <c r="X239" s="261"/>
      <c r="Y239" s="177" t="s">
        <v>1782</v>
      </c>
      <c r="Z239" s="177" t="s">
        <v>109</v>
      </c>
      <c r="AA239" s="177" t="s">
        <v>215</v>
      </c>
      <c r="AB239" s="177" t="s">
        <v>109</v>
      </c>
      <c r="AC239" s="177">
        <v>1.1000000000000001</v>
      </c>
      <c r="AD239" s="177" t="s">
        <v>1787</v>
      </c>
      <c r="AE239" s="177" t="s">
        <v>1729</v>
      </c>
      <c r="AF239" s="177">
        <v>1</v>
      </c>
      <c r="AG239" s="177">
        <v>20126</v>
      </c>
      <c r="AH239" s="177" t="s">
        <v>121</v>
      </c>
      <c r="AI239" s="177" t="b">
        <v>1</v>
      </c>
      <c r="AJ239" s="180" t="s">
        <v>1788</v>
      </c>
      <c r="AK239" s="177" t="s">
        <v>122</v>
      </c>
      <c r="AL239" s="177" t="s">
        <v>109</v>
      </c>
      <c r="AM239" s="177" t="s">
        <v>109</v>
      </c>
      <c r="AN239" s="177" t="b">
        <v>0</v>
      </c>
      <c r="AO239" s="177" t="s">
        <v>109</v>
      </c>
      <c r="AP239" s="177" t="s">
        <v>109</v>
      </c>
      <c r="AQ239" s="177" t="s">
        <v>109</v>
      </c>
      <c r="AR239" s="177" t="b">
        <v>0</v>
      </c>
      <c r="AS239" s="177" t="s">
        <v>123</v>
      </c>
      <c r="AT239" s="180" t="s">
        <v>123</v>
      </c>
      <c r="AU239" s="177" t="s">
        <v>124</v>
      </c>
      <c r="AV239" s="177" t="s">
        <v>109</v>
      </c>
      <c r="AW239" s="177" t="s">
        <v>109</v>
      </c>
      <c r="AX239" s="177" t="s">
        <v>109</v>
      </c>
      <c r="AY239" s="177" t="s">
        <v>135</v>
      </c>
      <c r="AZ239" s="177" t="s">
        <v>109</v>
      </c>
      <c r="BA239" s="177" t="s">
        <v>125</v>
      </c>
      <c r="BB239" s="177" t="s">
        <v>109</v>
      </c>
      <c r="BC239" s="177" t="s">
        <v>126</v>
      </c>
      <c r="BD239" s="177" t="s">
        <v>109</v>
      </c>
      <c r="BE239" s="180" t="s">
        <v>1789</v>
      </c>
      <c r="BF239" s="180" t="s">
        <v>172</v>
      </c>
      <c r="BG239" s="180" t="s">
        <v>1790</v>
      </c>
      <c r="BH239" s="177" t="s">
        <v>699</v>
      </c>
      <c r="BI239" s="177" t="s">
        <v>326</v>
      </c>
      <c r="BJ239" s="177" t="b">
        <v>1</v>
      </c>
      <c r="BK239" s="233">
        <v>138.85682</v>
      </c>
      <c r="BL239" s="234" t="s">
        <v>128</v>
      </c>
      <c r="BM239" s="233">
        <v>2795.4496300000001</v>
      </c>
      <c r="BN239" s="233">
        <v>89.729889999999997</v>
      </c>
      <c r="BO239" s="233">
        <v>1419.85717</v>
      </c>
      <c r="BP239" s="233">
        <v>805.02916000000005</v>
      </c>
      <c r="BQ239" s="233">
        <v>30.809619999999999</v>
      </c>
      <c r="BR239" s="233">
        <v>324.92234000000002</v>
      </c>
      <c r="BS239" s="233">
        <v>0.12665999999999999</v>
      </c>
      <c r="BT239" s="233">
        <v>0</v>
      </c>
      <c r="BU239" s="233">
        <v>0</v>
      </c>
      <c r="BV239" s="233">
        <v>0</v>
      </c>
      <c r="BW239" s="233">
        <v>0</v>
      </c>
      <c r="BX239" s="233">
        <v>0</v>
      </c>
      <c r="BY239" s="234">
        <v>0</v>
      </c>
      <c r="BZ239" s="236" t="s">
        <v>109</v>
      </c>
      <c r="CA239" s="236" t="s">
        <v>109</v>
      </c>
      <c r="CB239" s="236" t="s">
        <v>139</v>
      </c>
      <c r="CC239" s="233">
        <v>0</v>
      </c>
      <c r="CD239" s="233">
        <v>0</v>
      </c>
      <c r="CE239" s="233">
        <v>2439.5910100000001</v>
      </c>
      <c r="CF239" s="233">
        <v>30.809619999999999</v>
      </c>
      <c r="CG239" s="233">
        <v>324.92234000000002</v>
      </c>
      <c r="CH239" s="233">
        <v>0.12665999999999999</v>
      </c>
      <c r="CI239" s="233">
        <v>0</v>
      </c>
      <c r="CJ239" s="237">
        <v>0</v>
      </c>
      <c r="CK239" s="177" t="s">
        <v>128</v>
      </c>
      <c r="CL239" s="177" t="s">
        <v>128</v>
      </c>
      <c r="CM239" s="155" t="s">
        <v>109</v>
      </c>
      <c r="CN239" s="229">
        <v>0</v>
      </c>
      <c r="CO239" s="229">
        <v>1</v>
      </c>
      <c r="CP239" t="s">
        <v>155</v>
      </c>
      <c r="CR239" s="248"/>
    </row>
    <row r="240" spans="1:96" ht="14.4" x14ac:dyDescent="0.3">
      <c r="A240">
        <v>237</v>
      </c>
      <c r="B240" s="173" t="s">
        <v>1791</v>
      </c>
      <c r="C240" s="259"/>
      <c r="D240" s="260"/>
      <c r="E240" t="s">
        <v>1414</v>
      </c>
      <c r="F240" t="s">
        <v>1727</v>
      </c>
      <c r="G240" s="177" t="s">
        <v>688</v>
      </c>
      <c r="H240" s="177" t="s">
        <v>146</v>
      </c>
      <c r="I240" s="177" t="s">
        <v>109</v>
      </c>
      <c r="J240" s="177" t="s">
        <v>109</v>
      </c>
      <c r="K240" s="177" t="s">
        <v>1728</v>
      </c>
      <c r="L240" s="177" t="s">
        <v>251</v>
      </c>
      <c r="M240" s="177" t="s">
        <v>109</v>
      </c>
      <c r="N240" s="177" t="s">
        <v>109</v>
      </c>
      <c r="O240" s="180">
        <v>45696</v>
      </c>
      <c r="P240" s="177" t="s">
        <v>1792</v>
      </c>
      <c r="Q240" s="177" t="s">
        <v>109</v>
      </c>
      <c r="R240" s="177" t="s">
        <v>109</v>
      </c>
      <c r="S240" s="177" t="s">
        <v>109</v>
      </c>
      <c r="T240" s="177" t="s">
        <v>1733</v>
      </c>
      <c r="U240" s="177" t="s">
        <v>117</v>
      </c>
      <c r="V240" s="177" t="b">
        <v>0</v>
      </c>
      <c r="W240" s="177" t="s">
        <v>109</v>
      </c>
      <c r="X240" s="261"/>
      <c r="Y240" s="177" t="s">
        <v>1782</v>
      </c>
      <c r="Z240" s="177" t="s">
        <v>109</v>
      </c>
      <c r="AA240" s="177" t="s">
        <v>1793</v>
      </c>
      <c r="AB240" s="177" t="s">
        <v>109</v>
      </c>
      <c r="AC240" s="177">
        <v>1.1000000000000001</v>
      </c>
      <c r="AD240" s="177" t="s">
        <v>1794</v>
      </c>
      <c r="AE240" s="177" t="s">
        <v>1729</v>
      </c>
      <c r="AF240" s="177">
        <v>1</v>
      </c>
      <c r="AG240" s="177">
        <v>20126</v>
      </c>
      <c r="AH240" s="177" t="s">
        <v>121</v>
      </c>
      <c r="AI240" s="177" t="b">
        <v>1</v>
      </c>
      <c r="AJ240" s="180">
        <v>43374</v>
      </c>
      <c r="AK240" s="177" t="s">
        <v>122</v>
      </c>
      <c r="AL240" s="177" t="s">
        <v>109</v>
      </c>
      <c r="AM240" s="177" t="s">
        <v>109</v>
      </c>
      <c r="AN240" s="177" t="b">
        <v>0</v>
      </c>
      <c r="AO240" s="177" t="s">
        <v>109</v>
      </c>
      <c r="AP240" s="177" t="s">
        <v>109</v>
      </c>
      <c r="AQ240" s="177" t="s">
        <v>109</v>
      </c>
      <c r="AR240" s="177" t="b">
        <v>0</v>
      </c>
      <c r="AS240" s="177" t="s">
        <v>123</v>
      </c>
      <c r="AT240" s="180" t="s">
        <v>123</v>
      </c>
      <c r="AU240" s="177" t="s">
        <v>124</v>
      </c>
      <c r="AV240" s="177" t="s">
        <v>109</v>
      </c>
      <c r="AW240" s="177" t="s">
        <v>109</v>
      </c>
      <c r="AX240" s="177" t="s">
        <v>109</v>
      </c>
      <c r="AY240" s="177" t="s">
        <v>135</v>
      </c>
      <c r="AZ240" s="177" t="s">
        <v>109</v>
      </c>
      <c r="BA240" s="177" t="s">
        <v>125</v>
      </c>
      <c r="BB240" s="177" t="s">
        <v>109</v>
      </c>
      <c r="BC240" s="177" t="s">
        <v>296</v>
      </c>
      <c r="BD240" s="177" t="s">
        <v>109</v>
      </c>
      <c r="BE240" s="180" t="s">
        <v>458</v>
      </c>
      <c r="BF240" s="180" t="s">
        <v>1795</v>
      </c>
      <c r="BG240" s="180" t="s">
        <v>458</v>
      </c>
      <c r="BH240" s="177" t="s">
        <v>109</v>
      </c>
      <c r="BI240" s="177" t="s">
        <v>109</v>
      </c>
      <c r="BJ240" s="177" t="b">
        <v>0</v>
      </c>
      <c r="BK240" s="233">
        <v>3804.3679999999999</v>
      </c>
      <c r="BL240" s="234" t="s">
        <v>128</v>
      </c>
      <c r="BM240" s="233">
        <v>3476.8948500000001</v>
      </c>
      <c r="BN240" s="233">
        <v>551.41909999999996</v>
      </c>
      <c r="BO240" s="233">
        <v>2840.4149200000002</v>
      </c>
      <c r="BP240" s="233">
        <v>1.80142</v>
      </c>
      <c r="BQ240" s="233">
        <v>0</v>
      </c>
      <c r="BR240" s="233">
        <v>0</v>
      </c>
      <c r="BS240" s="233">
        <v>0</v>
      </c>
      <c r="BT240" s="233">
        <v>0</v>
      </c>
      <c r="BU240" s="233">
        <v>0</v>
      </c>
      <c r="BV240" s="233">
        <v>0</v>
      </c>
      <c r="BW240" s="233">
        <v>0</v>
      </c>
      <c r="BX240" s="233">
        <v>0</v>
      </c>
      <c r="BY240" s="234">
        <v>0</v>
      </c>
      <c r="BZ240" s="236" t="s">
        <v>109</v>
      </c>
      <c r="CA240" s="236" t="s">
        <v>109</v>
      </c>
      <c r="CB240" s="236" t="s">
        <v>336</v>
      </c>
      <c r="CC240" s="233">
        <v>0</v>
      </c>
      <c r="CD240" s="233">
        <v>3475.0934299999999</v>
      </c>
      <c r="CE240" s="233">
        <v>1.80142</v>
      </c>
      <c r="CF240" s="233">
        <v>0</v>
      </c>
      <c r="CG240" s="233">
        <v>0</v>
      </c>
      <c r="CH240" s="233">
        <v>0</v>
      </c>
      <c r="CI240" s="233">
        <v>0</v>
      </c>
      <c r="CJ240" s="237">
        <v>0</v>
      </c>
      <c r="CK240" s="177" t="s">
        <v>128</v>
      </c>
      <c r="CL240" s="177" t="s">
        <v>128</v>
      </c>
      <c r="CM240" s="155" t="s">
        <v>109</v>
      </c>
      <c r="CN240" s="229">
        <v>0.13550000000000001</v>
      </c>
      <c r="CO240" s="229">
        <v>0.86450000000000005</v>
      </c>
      <c r="CP240" t="s">
        <v>155</v>
      </c>
      <c r="CR240" s="248"/>
    </row>
    <row r="241" spans="1:96" ht="14.4" x14ac:dyDescent="0.3">
      <c r="A241">
        <v>238</v>
      </c>
      <c r="B241" s="173" t="s">
        <v>1796</v>
      </c>
      <c r="C241" s="259"/>
      <c r="D241" s="260"/>
      <c r="E241" t="s">
        <v>329</v>
      </c>
      <c r="F241" t="s">
        <v>1727</v>
      </c>
      <c r="G241" s="177" t="s">
        <v>688</v>
      </c>
      <c r="H241" s="177" t="s">
        <v>146</v>
      </c>
      <c r="I241" s="177" t="s">
        <v>109</v>
      </c>
      <c r="J241" s="177" t="s">
        <v>109</v>
      </c>
      <c r="K241" s="177" t="s">
        <v>1728</v>
      </c>
      <c r="L241" s="177" t="s">
        <v>251</v>
      </c>
      <c r="M241" s="177" t="s">
        <v>109</v>
      </c>
      <c r="N241" s="177" t="s">
        <v>109</v>
      </c>
      <c r="O241" s="180">
        <v>45703</v>
      </c>
      <c r="P241" s="177" t="s">
        <v>109</v>
      </c>
      <c r="Q241" s="177" t="s">
        <v>109</v>
      </c>
      <c r="R241" s="177" t="s">
        <v>109</v>
      </c>
      <c r="S241" s="177" t="s">
        <v>109</v>
      </c>
      <c r="T241" s="177" t="s">
        <v>1733</v>
      </c>
      <c r="U241" s="177" t="s">
        <v>117</v>
      </c>
      <c r="V241" s="177" t="b">
        <v>0</v>
      </c>
      <c r="W241" s="177" t="s">
        <v>109</v>
      </c>
      <c r="X241" s="261"/>
      <c r="Y241" s="177" t="s">
        <v>1782</v>
      </c>
      <c r="Z241" s="177" t="s">
        <v>109</v>
      </c>
      <c r="AA241" s="177" t="s">
        <v>304</v>
      </c>
      <c r="AB241" s="177" t="s">
        <v>109</v>
      </c>
      <c r="AC241" s="177">
        <v>1.1000000000000001</v>
      </c>
      <c r="AD241" s="177" t="s">
        <v>1797</v>
      </c>
      <c r="AE241" s="177" t="s">
        <v>1729</v>
      </c>
      <c r="AF241" s="177">
        <v>1</v>
      </c>
      <c r="AG241" s="177">
        <v>20126</v>
      </c>
      <c r="AH241" s="177" t="s">
        <v>121</v>
      </c>
      <c r="AI241" s="177" t="b">
        <v>1</v>
      </c>
      <c r="AJ241" s="180">
        <v>43396</v>
      </c>
      <c r="AK241" s="177" t="s">
        <v>122</v>
      </c>
      <c r="AL241" s="177" t="s">
        <v>109</v>
      </c>
      <c r="AM241" s="177" t="s">
        <v>109</v>
      </c>
      <c r="AN241" s="177" t="b">
        <v>0</v>
      </c>
      <c r="AO241" s="177" t="s">
        <v>109</v>
      </c>
      <c r="AP241" s="177" t="s">
        <v>109</v>
      </c>
      <c r="AQ241" s="177" t="s">
        <v>109</v>
      </c>
      <c r="AR241" s="177" t="b">
        <v>0</v>
      </c>
      <c r="AS241" s="177" t="s">
        <v>123</v>
      </c>
      <c r="AT241" s="180" t="s">
        <v>123</v>
      </c>
      <c r="AU241" s="177" t="s">
        <v>124</v>
      </c>
      <c r="AV241" s="177" t="s">
        <v>109</v>
      </c>
      <c r="AW241" s="177" t="s">
        <v>109</v>
      </c>
      <c r="AX241" s="177" t="s">
        <v>109</v>
      </c>
      <c r="AY241" s="177" t="s">
        <v>135</v>
      </c>
      <c r="AZ241" s="177" t="s">
        <v>109</v>
      </c>
      <c r="BA241" s="177" t="s">
        <v>125</v>
      </c>
      <c r="BB241" s="177" t="s">
        <v>109</v>
      </c>
      <c r="BC241" s="177" t="s">
        <v>126</v>
      </c>
      <c r="BD241" s="177" t="s">
        <v>109</v>
      </c>
      <c r="BE241" s="180" t="s">
        <v>152</v>
      </c>
      <c r="BF241" s="180" t="s">
        <v>152</v>
      </c>
      <c r="BG241" s="180" t="s">
        <v>786</v>
      </c>
      <c r="BH241" s="177" t="s">
        <v>109</v>
      </c>
      <c r="BI241" s="177" t="s">
        <v>109</v>
      </c>
      <c r="BJ241" s="177" t="b">
        <v>0</v>
      </c>
      <c r="BK241" s="233">
        <v>9.9990000000000006</v>
      </c>
      <c r="BL241" s="234" t="s">
        <v>128</v>
      </c>
      <c r="BM241" s="233">
        <v>1219.5433599999999</v>
      </c>
      <c r="BN241" s="233">
        <v>294.88465000000002</v>
      </c>
      <c r="BO241" s="233">
        <v>495.96429999999998</v>
      </c>
      <c r="BP241" s="233">
        <v>29.23817</v>
      </c>
      <c r="BQ241" s="233">
        <v>104.0368</v>
      </c>
      <c r="BR241" s="233">
        <v>51.842030000000001</v>
      </c>
      <c r="BS241" s="233">
        <v>0</v>
      </c>
      <c r="BT241" s="233">
        <v>0</v>
      </c>
      <c r="BU241" s="233">
        <v>0</v>
      </c>
      <c r="BV241" s="233">
        <v>0</v>
      </c>
      <c r="BW241" s="233">
        <v>0</v>
      </c>
      <c r="BX241" s="233">
        <v>0</v>
      </c>
      <c r="BY241" s="234">
        <v>0</v>
      </c>
      <c r="BZ241" s="236" t="s">
        <v>109</v>
      </c>
      <c r="CA241" s="236" t="s">
        <v>109</v>
      </c>
      <c r="CB241" s="236" t="s">
        <v>460</v>
      </c>
      <c r="CC241" s="233">
        <v>0</v>
      </c>
      <c r="CD241" s="233">
        <v>1034.4263599999999</v>
      </c>
      <c r="CE241" s="233">
        <v>29.23817</v>
      </c>
      <c r="CF241" s="233">
        <v>104.0368</v>
      </c>
      <c r="CG241" s="233">
        <v>51.842030000000001</v>
      </c>
      <c r="CH241" s="233">
        <v>0</v>
      </c>
      <c r="CI241" s="233">
        <v>0</v>
      </c>
      <c r="CJ241" s="237">
        <v>0</v>
      </c>
      <c r="CK241" s="177" t="s">
        <v>128</v>
      </c>
      <c r="CL241" s="177" t="s">
        <v>128</v>
      </c>
      <c r="CM241" s="155" t="s">
        <v>109</v>
      </c>
      <c r="CN241" s="229">
        <v>0.13550000000000001</v>
      </c>
      <c r="CO241" s="229">
        <v>0.86450000000000005</v>
      </c>
      <c r="CP241" t="s">
        <v>155</v>
      </c>
      <c r="CR241" s="248"/>
    </row>
    <row r="242" spans="1:96" ht="14.4" x14ac:dyDescent="0.3">
      <c r="A242">
        <v>239</v>
      </c>
      <c r="B242" s="173" t="s">
        <v>1798</v>
      </c>
      <c r="C242" s="259"/>
      <c r="D242" s="260"/>
      <c r="E242" t="s">
        <v>1799</v>
      </c>
      <c r="F242" t="s">
        <v>1727</v>
      </c>
      <c r="G242" s="177" t="s">
        <v>688</v>
      </c>
      <c r="H242" s="177" t="s">
        <v>146</v>
      </c>
      <c r="I242" s="177" t="s">
        <v>109</v>
      </c>
      <c r="J242" s="177" t="s">
        <v>109</v>
      </c>
      <c r="K242" s="177" t="s">
        <v>1728</v>
      </c>
      <c r="L242" s="177" t="s">
        <v>251</v>
      </c>
      <c r="M242" s="177" t="s">
        <v>109</v>
      </c>
      <c r="N242" s="177" t="s">
        <v>109</v>
      </c>
      <c r="O242" s="180">
        <v>45703</v>
      </c>
      <c r="P242" s="177" t="s">
        <v>1748</v>
      </c>
      <c r="Q242" s="177" t="s">
        <v>109</v>
      </c>
      <c r="R242" s="177" t="s">
        <v>109</v>
      </c>
      <c r="S242" s="177" t="s">
        <v>109</v>
      </c>
      <c r="T242" s="177" t="s">
        <v>1733</v>
      </c>
      <c r="U242" s="177" t="s">
        <v>117</v>
      </c>
      <c r="V242" s="177" t="b">
        <v>0</v>
      </c>
      <c r="W242" s="177" t="s">
        <v>109</v>
      </c>
      <c r="X242" s="261"/>
      <c r="Y242" s="177" t="s">
        <v>1782</v>
      </c>
      <c r="Z242" s="177" t="s">
        <v>109</v>
      </c>
      <c r="AA242" s="177" t="s">
        <v>215</v>
      </c>
      <c r="AB242" s="177" t="s">
        <v>109</v>
      </c>
      <c r="AC242" s="177">
        <v>1.1000000000000001</v>
      </c>
      <c r="AD242" s="177" t="s">
        <v>1800</v>
      </c>
      <c r="AE242" s="177" t="s">
        <v>1729</v>
      </c>
      <c r="AF242" s="177">
        <v>1</v>
      </c>
      <c r="AG242" s="177">
        <v>20126</v>
      </c>
      <c r="AH242" s="177" t="s">
        <v>121</v>
      </c>
      <c r="AI242" s="177" t="b">
        <v>1</v>
      </c>
      <c r="AJ242" s="180">
        <v>43690</v>
      </c>
      <c r="AK242" s="177" t="s">
        <v>122</v>
      </c>
      <c r="AL242" s="177" t="s">
        <v>109</v>
      </c>
      <c r="AM242" s="177" t="s">
        <v>109</v>
      </c>
      <c r="AN242" s="177" t="b">
        <v>0</v>
      </c>
      <c r="AO242" s="177" t="s">
        <v>109</v>
      </c>
      <c r="AP242" s="177" t="s">
        <v>109</v>
      </c>
      <c r="AQ242" s="177" t="s">
        <v>109</v>
      </c>
      <c r="AR242" s="177" t="b">
        <v>0</v>
      </c>
      <c r="AS242" s="177" t="s">
        <v>123</v>
      </c>
      <c r="AT242" s="180" t="s">
        <v>123</v>
      </c>
      <c r="AU242" s="177" t="s">
        <v>124</v>
      </c>
      <c r="AV242" s="177" t="s">
        <v>109</v>
      </c>
      <c r="AW242" s="177" t="s">
        <v>109</v>
      </c>
      <c r="AX242" s="177" t="s">
        <v>109</v>
      </c>
      <c r="AY242" s="177" t="s">
        <v>135</v>
      </c>
      <c r="AZ242" s="177" t="s">
        <v>109</v>
      </c>
      <c r="BA242" s="177" t="s">
        <v>125</v>
      </c>
      <c r="BB242" s="177" t="s">
        <v>109</v>
      </c>
      <c r="BC242" s="177" t="s">
        <v>126</v>
      </c>
      <c r="BD242" s="177" t="s">
        <v>109</v>
      </c>
      <c r="BE242" s="180" t="s">
        <v>1340</v>
      </c>
      <c r="BF242" s="180" t="s">
        <v>1068</v>
      </c>
      <c r="BG242" s="180" t="s">
        <v>1801</v>
      </c>
      <c r="BH242" s="177" t="s">
        <v>326</v>
      </c>
      <c r="BI242" s="177" t="s">
        <v>109</v>
      </c>
      <c r="BJ242" s="177" t="b">
        <v>1</v>
      </c>
      <c r="BK242" s="233">
        <v>999.99900000000002</v>
      </c>
      <c r="BL242" s="234" t="s">
        <v>128</v>
      </c>
      <c r="BM242" s="233">
        <v>1365.0031300000001</v>
      </c>
      <c r="BN242" s="233">
        <v>-15.01525</v>
      </c>
      <c r="BO242" s="233">
        <v>82.502110000000002</v>
      </c>
      <c r="BP242" s="233">
        <v>1006.90062</v>
      </c>
      <c r="BQ242" s="233">
        <v>92.087400000000002</v>
      </c>
      <c r="BR242" s="233">
        <v>195.07726</v>
      </c>
      <c r="BS242" s="233">
        <v>3.45099</v>
      </c>
      <c r="BT242" s="233">
        <v>0</v>
      </c>
      <c r="BU242" s="233">
        <v>0</v>
      </c>
      <c r="BV242" s="233">
        <v>0</v>
      </c>
      <c r="BW242" s="233">
        <v>0</v>
      </c>
      <c r="BX242" s="233">
        <v>0</v>
      </c>
      <c r="BY242" s="234">
        <v>0</v>
      </c>
      <c r="BZ242" s="236" t="s">
        <v>109</v>
      </c>
      <c r="CA242" s="236" t="s">
        <v>109</v>
      </c>
      <c r="CB242" s="236" t="s">
        <v>154</v>
      </c>
      <c r="CC242" s="233">
        <v>0</v>
      </c>
      <c r="CD242" s="233">
        <v>0</v>
      </c>
      <c r="CE242" s="233">
        <v>0</v>
      </c>
      <c r="CF242" s="233">
        <v>1166.47488</v>
      </c>
      <c r="CG242" s="233">
        <v>195.07726</v>
      </c>
      <c r="CH242" s="233">
        <v>3.45099</v>
      </c>
      <c r="CI242" s="233">
        <v>0</v>
      </c>
      <c r="CJ242" s="237">
        <v>0</v>
      </c>
      <c r="CK242" s="177" t="s">
        <v>128</v>
      </c>
      <c r="CL242" s="177" t="s">
        <v>128</v>
      </c>
      <c r="CM242" s="155" t="s">
        <v>109</v>
      </c>
      <c r="CN242" s="229">
        <v>0</v>
      </c>
      <c r="CO242" s="229">
        <v>1</v>
      </c>
      <c r="CP242" t="s">
        <v>1746</v>
      </c>
      <c r="CR242" s="248"/>
    </row>
    <row r="243" spans="1:96" ht="14.4" x14ac:dyDescent="0.3">
      <c r="A243">
        <v>240</v>
      </c>
      <c r="B243" s="173" t="s">
        <v>1802</v>
      </c>
      <c r="C243" s="259"/>
      <c r="D243" s="260"/>
      <c r="E243" t="s">
        <v>329</v>
      </c>
      <c r="F243" t="s">
        <v>1727</v>
      </c>
      <c r="G243" s="177" t="s">
        <v>688</v>
      </c>
      <c r="H243" s="177" t="s">
        <v>146</v>
      </c>
      <c r="I243" s="177" t="s">
        <v>109</v>
      </c>
      <c r="J243" s="177" t="s">
        <v>109</v>
      </c>
      <c r="K243" s="177" t="s">
        <v>1728</v>
      </c>
      <c r="L243" s="177" t="s">
        <v>251</v>
      </c>
      <c r="M243" s="177" t="s">
        <v>109</v>
      </c>
      <c r="N243" s="177" t="s">
        <v>109</v>
      </c>
      <c r="O243" s="180">
        <v>45703</v>
      </c>
      <c r="P243" s="177" t="s">
        <v>109</v>
      </c>
      <c r="Q243" s="177" t="s">
        <v>109</v>
      </c>
      <c r="R243" s="177" t="s">
        <v>109</v>
      </c>
      <c r="S243" s="177" t="s">
        <v>109</v>
      </c>
      <c r="T243" s="177" t="s">
        <v>1733</v>
      </c>
      <c r="U243" s="177" t="s">
        <v>117</v>
      </c>
      <c r="V243" s="177" t="b">
        <v>0</v>
      </c>
      <c r="W243" s="177" t="s">
        <v>109</v>
      </c>
      <c r="X243" s="261"/>
      <c r="Y243" s="177" t="s">
        <v>1782</v>
      </c>
      <c r="Z243" s="177" t="s">
        <v>109</v>
      </c>
      <c r="AA243" s="177" t="s">
        <v>215</v>
      </c>
      <c r="AB243" s="177" t="s">
        <v>109</v>
      </c>
      <c r="AC243" s="177">
        <v>1.1000000000000001</v>
      </c>
      <c r="AD243" s="177" t="s">
        <v>1803</v>
      </c>
      <c r="AE243" s="177" t="s">
        <v>1729</v>
      </c>
      <c r="AF243" s="177">
        <v>1</v>
      </c>
      <c r="AG243" s="177">
        <v>20126</v>
      </c>
      <c r="AH243" s="177" t="s">
        <v>121</v>
      </c>
      <c r="AI243" s="177" t="b">
        <v>1</v>
      </c>
      <c r="AJ243" s="180">
        <v>43735</v>
      </c>
      <c r="AK243" s="177" t="s">
        <v>122</v>
      </c>
      <c r="AL243" s="177" t="s">
        <v>109</v>
      </c>
      <c r="AM243" s="177" t="s">
        <v>109</v>
      </c>
      <c r="AN243" s="177" t="b">
        <v>0</v>
      </c>
      <c r="AO243" s="177" t="s">
        <v>109</v>
      </c>
      <c r="AP243" s="177" t="s">
        <v>109</v>
      </c>
      <c r="AQ243" s="177" t="s">
        <v>109</v>
      </c>
      <c r="AR243" s="177" t="b">
        <v>0</v>
      </c>
      <c r="AS243" s="177" t="s">
        <v>123</v>
      </c>
      <c r="AT243" s="180" t="s">
        <v>123</v>
      </c>
      <c r="AU243" s="177" t="s">
        <v>124</v>
      </c>
      <c r="AV243" s="177" t="s">
        <v>109</v>
      </c>
      <c r="AW243" s="177" t="s">
        <v>109</v>
      </c>
      <c r="AX243" s="177" t="s">
        <v>109</v>
      </c>
      <c r="AY243" s="177" t="s">
        <v>135</v>
      </c>
      <c r="AZ243" s="177" t="s">
        <v>109</v>
      </c>
      <c r="BA243" s="177" t="s">
        <v>125</v>
      </c>
      <c r="BB243" s="177" t="s">
        <v>109</v>
      </c>
      <c r="BC243" s="177" t="s">
        <v>126</v>
      </c>
      <c r="BD243" s="177" t="s">
        <v>109</v>
      </c>
      <c r="BE243" s="180" t="s">
        <v>1804</v>
      </c>
      <c r="BF243" s="180" t="s">
        <v>152</v>
      </c>
      <c r="BG243" s="180" t="s">
        <v>1805</v>
      </c>
      <c r="BH243" s="177" t="s">
        <v>326</v>
      </c>
      <c r="BI243" s="177" t="s">
        <v>109</v>
      </c>
      <c r="BJ243" s="177" t="b">
        <v>1</v>
      </c>
      <c r="BK243" s="233">
        <v>999.99900000000002</v>
      </c>
      <c r="BL243" s="234" t="s">
        <v>128</v>
      </c>
      <c r="BM243" s="233">
        <v>1392.51044</v>
      </c>
      <c r="BN243" s="233">
        <v>435.38475</v>
      </c>
      <c r="BO243" s="233">
        <v>315.86783000000003</v>
      </c>
      <c r="BP243" s="233">
        <v>464.56182000000001</v>
      </c>
      <c r="BQ243" s="233">
        <v>61.738729999999997</v>
      </c>
      <c r="BR243" s="233">
        <v>114.95732</v>
      </c>
      <c r="BS243" s="233">
        <v>-1.0000000000000001E-5</v>
      </c>
      <c r="BT243" s="233">
        <v>0</v>
      </c>
      <c r="BU243" s="233">
        <v>0</v>
      </c>
      <c r="BV243" s="233">
        <v>0</v>
      </c>
      <c r="BW243" s="233">
        <v>0</v>
      </c>
      <c r="BX243" s="233">
        <v>0</v>
      </c>
      <c r="BY243" s="234">
        <v>0</v>
      </c>
      <c r="BZ243" s="236" t="s">
        <v>109</v>
      </c>
      <c r="CA243" s="236" t="s">
        <v>109</v>
      </c>
      <c r="CB243" s="236" t="s">
        <v>139</v>
      </c>
      <c r="CC243" s="233">
        <v>0</v>
      </c>
      <c r="CD243" s="233">
        <v>0</v>
      </c>
      <c r="CE243" s="233">
        <v>1215.8144</v>
      </c>
      <c r="CF243" s="233">
        <v>61.738729999999997</v>
      </c>
      <c r="CG243" s="233">
        <v>114.95732</v>
      </c>
      <c r="CH243" s="233">
        <v>-1.0000000000000001E-5</v>
      </c>
      <c r="CI243" s="233">
        <v>0</v>
      </c>
      <c r="CJ243" s="237">
        <v>0</v>
      </c>
      <c r="CK243" s="177" t="s">
        <v>128</v>
      </c>
      <c r="CL243" s="177" t="s">
        <v>128</v>
      </c>
      <c r="CM243" s="155" t="s">
        <v>109</v>
      </c>
      <c r="CN243" s="229">
        <v>0</v>
      </c>
      <c r="CO243" s="229">
        <v>1</v>
      </c>
      <c r="CP243" t="s">
        <v>155</v>
      </c>
      <c r="CR243" s="248"/>
    </row>
    <row r="244" spans="1:96" ht="14.4" x14ac:dyDescent="0.3">
      <c r="A244">
        <v>241</v>
      </c>
      <c r="B244" s="173" t="s">
        <v>1806</v>
      </c>
      <c r="C244" s="259"/>
      <c r="D244" s="260"/>
      <c r="E244" t="s">
        <v>1253</v>
      </c>
      <c r="F244" t="s">
        <v>1727</v>
      </c>
      <c r="G244" s="177" t="s">
        <v>688</v>
      </c>
      <c r="H244" s="177" t="s">
        <v>146</v>
      </c>
      <c r="I244" s="177" t="s">
        <v>109</v>
      </c>
      <c r="J244" s="177" t="s">
        <v>109</v>
      </c>
      <c r="K244" s="177" t="s">
        <v>1728</v>
      </c>
      <c r="L244" s="177" t="s">
        <v>251</v>
      </c>
      <c r="M244" s="177" t="s">
        <v>109</v>
      </c>
      <c r="N244" s="177" t="s">
        <v>109</v>
      </c>
      <c r="O244" s="180">
        <v>45708</v>
      </c>
      <c r="P244" s="177" t="s">
        <v>1807</v>
      </c>
      <c r="Q244" s="177" t="s">
        <v>109</v>
      </c>
      <c r="R244" s="177" t="s">
        <v>109</v>
      </c>
      <c r="S244" s="177" t="s">
        <v>109</v>
      </c>
      <c r="T244" s="177" t="s">
        <v>1733</v>
      </c>
      <c r="U244" s="177" t="s">
        <v>117</v>
      </c>
      <c r="V244" s="177" t="b">
        <v>0</v>
      </c>
      <c r="W244" s="177" t="s">
        <v>109</v>
      </c>
      <c r="X244" s="261"/>
      <c r="Y244" s="177" t="s">
        <v>1782</v>
      </c>
      <c r="Z244" s="177" t="s">
        <v>109</v>
      </c>
      <c r="AA244" s="177" t="s">
        <v>215</v>
      </c>
      <c r="AB244" s="177" t="s">
        <v>109</v>
      </c>
      <c r="AC244" s="177">
        <v>1.1000000000000001</v>
      </c>
      <c r="AD244" s="177" t="s">
        <v>1808</v>
      </c>
      <c r="AE244" s="177" t="s">
        <v>1729</v>
      </c>
      <c r="AF244" s="177">
        <v>1</v>
      </c>
      <c r="AG244" s="177">
        <v>20126</v>
      </c>
      <c r="AH244" s="177" t="s">
        <v>121</v>
      </c>
      <c r="AI244" s="177" t="b">
        <v>1</v>
      </c>
      <c r="AJ244" s="180">
        <v>43735</v>
      </c>
      <c r="AK244" s="177" t="s">
        <v>122</v>
      </c>
      <c r="AL244" s="177" t="s">
        <v>109</v>
      </c>
      <c r="AM244" s="177" t="s">
        <v>109</v>
      </c>
      <c r="AN244" s="177" t="b">
        <v>0</v>
      </c>
      <c r="AO244" s="177" t="s">
        <v>109</v>
      </c>
      <c r="AP244" s="177" t="s">
        <v>109</v>
      </c>
      <c r="AQ244" s="177" t="s">
        <v>109</v>
      </c>
      <c r="AR244" s="177" t="b">
        <v>0</v>
      </c>
      <c r="AS244" s="177" t="s">
        <v>123</v>
      </c>
      <c r="AT244" s="180" t="s">
        <v>123</v>
      </c>
      <c r="AU244" s="177" t="s">
        <v>124</v>
      </c>
      <c r="AV244" s="177" t="s">
        <v>109</v>
      </c>
      <c r="AW244" s="177" t="s">
        <v>109</v>
      </c>
      <c r="AX244" s="177" t="s">
        <v>109</v>
      </c>
      <c r="AY244" s="177" t="s">
        <v>135</v>
      </c>
      <c r="AZ244" s="177" t="s">
        <v>109</v>
      </c>
      <c r="BA244" s="177" t="s">
        <v>125</v>
      </c>
      <c r="BB244" s="177" t="s">
        <v>109</v>
      </c>
      <c r="BC244" s="177" t="s">
        <v>126</v>
      </c>
      <c r="BD244" s="177" t="s">
        <v>109</v>
      </c>
      <c r="BE244" s="180" t="s">
        <v>1809</v>
      </c>
      <c r="BF244" s="180" t="s">
        <v>152</v>
      </c>
      <c r="BG244" s="180" t="s">
        <v>1810</v>
      </c>
      <c r="BH244" s="177" t="s">
        <v>109</v>
      </c>
      <c r="BI244" s="177" t="s">
        <v>109</v>
      </c>
      <c r="BJ244" s="177" t="b">
        <v>1</v>
      </c>
      <c r="BK244" s="233">
        <v>999.99900000000002</v>
      </c>
      <c r="BL244" s="234" t="s">
        <v>128</v>
      </c>
      <c r="BM244" s="233">
        <v>1024.1634100000001</v>
      </c>
      <c r="BN244" s="233">
        <v>274.30376000000001</v>
      </c>
      <c r="BO244" s="233">
        <v>611.27373</v>
      </c>
      <c r="BP244" s="233">
        <v>64.140289999999993</v>
      </c>
      <c r="BQ244" s="233">
        <v>25.014060000000001</v>
      </c>
      <c r="BR244" s="233">
        <v>49.002270000000003</v>
      </c>
      <c r="BS244" s="233">
        <v>0.42930000000000001</v>
      </c>
      <c r="BT244" s="233">
        <v>0</v>
      </c>
      <c r="BU244" s="233">
        <v>0</v>
      </c>
      <c r="BV244" s="233">
        <v>0</v>
      </c>
      <c r="BW244" s="233">
        <v>0</v>
      </c>
      <c r="BX244" s="233">
        <v>0</v>
      </c>
      <c r="BY244" s="234">
        <v>0</v>
      </c>
      <c r="BZ244" s="236" t="s">
        <v>109</v>
      </c>
      <c r="CA244" s="236" t="s">
        <v>109</v>
      </c>
      <c r="CB244" s="236" t="s">
        <v>842</v>
      </c>
      <c r="CC244" s="233">
        <v>0</v>
      </c>
      <c r="CD244" s="233">
        <v>885.57749000000001</v>
      </c>
      <c r="CE244" s="233">
        <v>64.140289999999993</v>
      </c>
      <c r="CF244" s="233">
        <v>25.014060000000001</v>
      </c>
      <c r="CG244" s="233">
        <v>49.002270000000003</v>
      </c>
      <c r="CH244" s="233">
        <v>0.42930000000000001</v>
      </c>
      <c r="CI244" s="233">
        <v>0</v>
      </c>
      <c r="CJ244" s="237">
        <v>0</v>
      </c>
      <c r="CK244" s="177" t="s">
        <v>128</v>
      </c>
      <c r="CL244" s="177" t="s">
        <v>128</v>
      </c>
      <c r="CM244" s="155" t="s">
        <v>109</v>
      </c>
      <c r="CN244" s="229">
        <v>0</v>
      </c>
      <c r="CO244" s="229">
        <v>1</v>
      </c>
      <c r="CP244" t="s">
        <v>155</v>
      </c>
      <c r="CR244" s="248"/>
    </row>
    <row r="245" spans="1:96" ht="14.4" x14ac:dyDescent="0.3">
      <c r="A245">
        <v>242</v>
      </c>
      <c r="B245" s="173" t="s">
        <v>1811</v>
      </c>
      <c r="C245" s="259"/>
      <c r="D245" s="260"/>
      <c r="E245" t="s">
        <v>1253</v>
      </c>
      <c r="F245" t="s">
        <v>1727</v>
      </c>
      <c r="G245" s="177" t="s">
        <v>688</v>
      </c>
      <c r="H245" s="177" t="s">
        <v>112</v>
      </c>
      <c r="I245" s="177" t="s">
        <v>146</v>
      </c>
      <c r="J245" s="177" t="s">
        <v>109</v>
      </c>
      <c r="K245" s="177" t="s">
        <v>1728</v>
      </c>
      <c r="L245" s="177" t="s">
        <v>251</v>
      </c>
      <c r="M245" s="177" t="s">
        <v>109</v>
      </c>
      <c r="N245" s="177" t="s">
        <v>109</v>
      </c>
      <c r="O245" s="180">
        <v>45708</v>
      </c>
      <c r="P245" s="177" t="s">
        <v>109</v>
      </c>
      <c r="Q245" s="177" t="s">
        <v>109</v>
      </c>
      <c r="R245" s="177" t="s">
        <v>109</v>
      </c>
      <c r="S245" s="177" t="s">
        <v>109</v>
      </c>
      <c r="T245" s="177" t="s">
        <v>1733</v>
      </c>
      <c r="U245" s="177" t="s">
        <v>117</v>
      </c>
      <c r="V245" s="177" t="b">
        <v>0</v>
      </c>
      <c r="W245" s="177" t="s">
        <v>109</v>
      </c>
      <c r="X245" s="261"/>
      <c r="Y245" s="177" t="s">
        <v>1782</v>
      </c>
      <c r="Z245" s="177" t="s">
        <v>109</v>
      </c>
      <c r="AA245" s="177" t="s">
        <v>215</v>
      </c>
      <c r="AB245" s="177" t="s">
        <v>109</v>
      </c>
      <c r="AC245" s="177">
        <v>1.1000000000000001</v>
      </c>
      <c r="AD245" s="177" t="s">
        <v>1812</v>
      </c>
      <c r="AE245" s="177" t="s">
        <v>1729</v>
      </c>
      <c r="AF245" s="177">
        <v>1</v>
      </c>
      <c r="AG245" s="177">
        <v>20126</v>
      </c>
      <c r="AH245" s="177" t="s">
        <v>121</v>
      </c>
      <c r="AI245" s="177" t="b">
        <v>1</v>
      </c>
      <c r="AJ245" s="180">
        <v>43735</v>
      </c>
      <c r="AK245" s="177" t="s">
        <v>122</v>
      </c>
      <c r="AL245" s="177" t="s">
        <v>109</v>
      </c>
      <c r="AM245" s="177" t="s">
        <v>109</v>
      </c>
      <c r="AN245" s="177" t="b">
        <v>0</v>
      </c>
      <c r="AO245" s="177" t="s">
        <v>109</v>
      </c>
      <c r="AP245" s="177" t="s">
        <v>109</v>
      </c>
      <c r="AQ245" s="177" t="s">
        <v>109</v>
      </c>
      <c r="AR245" s="177" t="b">
        <v>0</v>
      </c>
      <c r="AS245" s="177" t="s">
        <v>123</v>
      </c>
      <c r="AT245" s="180" t="s">
        <v>123</v>
      </c>
      <c r="AU245" s="177" t="s">
        <v>124</v>
      </c>
      <c r="AV245" s="177" t="s">
        <v>109</v>
      </c>
      <c r="AW245" s="177" t="s">
        <v>109</v>
      </c>
      <c r="AX245" s="177" t="s">
        <v>109</v>
      </c>
      <c r="AY245" s="177" t="s">
        <v>135</v>
      </c>
      <c r="AZ245" s="177" t="s">
        <v>109</v>
      </c>
      <c r="BA245" s="177" t="s">
        <v>125</v>
      </c>
      <c r="BB245" s="177" t="s">
        <v>109</v>
      </c>
      <c r="BC245" s="177" t="s">
        <v>126</v>
      </c>
      <c r="BD245" s="177" t="s">
        <v>109</v>
      </c>
      <c r="BE245" s="180" t="s">
        <v>1813</v>
      </c>
      <c r="BF245" s="180" t="s">
        <v>152</v>
      </c>
      <c r="BG245" s="180" t="s">
        <v>1814</v>
      </c>
      <c r="BH245" s="177" t="s">
        <v>109</v>
      </c>
      <c r="BI245" s="177" t="s">
        <v>109</v>
      </c>
      <c r="BJ245" s="177" t="b">
        <v>1</v>
      </c>
      <c r="BK245" s="233">
        <v>999.99900000000002</v>
      </c>
      <c r="BL245" s="234" t="s">
        <v>128</v>
      </c>
      <c r="BM245" s="233">
        <v>1322.0238999999999</v>
      </c>
      <c r="BN245" s="233">
        <v>436.32069000000001</v>
      </c>
      <c r="BO245" s="233">
        <v>133.55303000000001</v>
      </c>
      <c r="BP245" s="233">
        <v>-25.360060000000001</v>
      </c>
      <c r="BQ245" s="233">
        <v>704.09054000000003</v>
      </c>
      <c r="BR245" s="233">
        <v>66.285399999999996</v>
      </c>
      <c r="BS245" s="233">
        <v>7.1342999999999996</v>
      </c>
      <c r="BT245" s="233">
        <v>0</v>
      </c>
      <c r="BU245" s="233">
        <v>0</v>
      </c>
      <c r="BV245" s="233">
        <v>0</v>
      </c>
      <c r="BW245" s="233">
        <v>0</v>
      </c>
      <c r="BX245" s="233">
        <v>0</v>
      </c>
      <c r="BY245" s="234">
        <v>0</v>
      </c>
      <c r="BZ245" s="236" t="s">
        <v>109</v>
      </c>
      <c r="CA245" s="236" t="s">
        <v>109</v>
      </c>
      <c r="CB245" s="236" t="s">
        <v>842</v>
      </c>
      <c r="CC245" s="233">
        <v>0</v>
      </c>
      <c r="CD245" s="233">
        <v>569.87372000000005</v>
      </c>
      <c r="CE245" s="233">
        <v>-25.360060000000001</v>
      </c>
      <c r="CF245" s="233">
        <v>704.09054000000003</v>
      </c>
      <c r="CG245" s="233">
        <v>66.285399999999996</v>
      </c>
      <c r="CH245" s="233">
        <v>7.1342999999999996</v>
      </c>
      <c r="CI245" s="233">
        <v>0</v>
      </c>
      <c r="CJ245" s="237">
        <v>0</v>
      </c>
      <c r="CK245" s="177" t="s">
        <v>128</v>
      </c>
      <c r="CL245" s="177" t="s">
        <v>128</v>
      </c>
      <c r="CM245" s="155" t="s">
        <v>109</v>
      </c>
      <c r="CN245" s="229">
        <v>0</v>
      </c>
      <c r="CO245" s="229">
        <v>1</v>
      </c>
      <c r="CP245" t="s">
        <v>155</v>
      </c>
      <c r="CR245" s="248"/>
    </row>
    <row r="246" spans="1:96" ht="14.4" x14ac:dyDescent="0.3">
      <c r="A246">
        <v>243</v>
      </c>
      <c r="B246" s="173" t="s">
        <v>1815</v>
      </c>
      <c r="C246" s="259"/>
      <c r="D246" s="260"/>
      <c r="E246" t="s">
        <v>1731</v>
      </c>
      <c r="F246" t="s">
        <v>1727</v>
      </c>
      <c r="G246" s="177" t="s">
        <v>688</v>
      </c>
      <c r="H246" s="177" t="s">
        <v>146</v>
      </c>
      <c r="I246" s="177" t="s">
        <v>109</v>
      </c>
      <c r="J246" s="177" t="s">
        <v>109</v>
      </c>
      <c r="K246" s="177" t="s">
        <v>1728</v>
      </c>
      <c r="L246" s="177" t="s">
        <v>251</v>
      </c>
      <c r="M246" s="177" t="s">
        <v>109</v>
      </c>
      <c r="N246" s="177" t="s">
        <v>109</v>
      </c>
      <c r="O246" s="180">
        <v>45703</v>
      </c>
      <c r="P246" s="177" t="s">
        <v>1816</v>
      </c>
      <c r="Q246" s="177" t="s">
        <v>109</v>
      </c>
      <c r="R246" s="177" t="s">
        <v>109</v>
      </c>
      <c r="S246" s="177" t="s">
        <v>109</v>
      </c>
      <c r="T246" s="177" t="s">
        <v>1733</v>
      </c>
      <c r="U246" s="177" t="s">
        <v>117</v>
      </c>
      <c r="V246" s="177" t="b">
        <v>0</v>
      </c>
      <c r="W246" s="177" t="s">
        <v>109</v>
      </c>
      <c r="X246" s="261"/>
      <c r="Y246" s="177" t="s">
        <v>1782</v>
      </c>
      <c r="Z246" s="177" t="s">
        <v>109</v>
      </c>
      <c r="AA246" s="177" t="s">
        <v>215</v>
      </c>
      <c r="AB246" s="177" t="s">
        <v>109</v>
      </c>
      <c r="AC246" s="177">
        <v>1.1000000000000001</v>
      </c>
      <c r="AD246" s="177" t="s">
        <v>1817</v>
      </c>
      <c r="AE246" s="177" t="s">
        <v>1729</v>
      </c>
      <c r="AF246" s="177">
        <v>1</v>
      </c>
      <c r="AG246" s="177">
        <v>20126</v>
      </c>
      <c r="AH246" s="177" t="s">
        <v>121</v>
      </c>
      <c r="AI246" s="177" t="b">
        <v>1</v>
      </c>
      <c r="AJ246" s="180" t="s">
        <v>1818</v>
      </c>
      <c r="AK246" s="177" t="s">
        <v>122</v>
      </c>
      <c r="AL246" s="177" t="s">
        <v>109</v>
      </c>
      <c r="AM246" s="177" t="s">
        <v>109</v>
      </c>
      <c r="AN246" s="177" t="b">
        <v>0</v>
      </c>
      <c r="AO246" s="177" t="s">
        <v>109</v>
      </c>
      <c r="AP246" s="177" t="s">
        <v>109</v>
      </c>
      <c r="AQ246" s="177" t="s">
        <v>109</v>
      </c>
      <c r="AR246" s="177" t="b">
        <v>0</v>
      </c>
      <c r="AS246" s="177" t="s">
        <v>123</v>
      </c>
      <c r="AT246" s="180" t="s">
        <v>123</v>
      </c>
      <c r="AU246" s="177" t="s">
        <v>124</v>
      </c>
      <c r="AV246" s="177" t="s">
        <v>109</v>
      </c>
      <c r="AW246" s="177" t="s">
        <v>109</v>
      </c>
      <c r="AX246" s="177" t="s">
        <v>109</v>
      </c>
      <c r="AY246" s="177" t="s">
        <v>135</v>
      </c>
      <c r="AZ246" s="177" t="s">
        <v>109</v>
      </c>
      <c r="BA246" s="177" t="s">
        <v>125</v>
      </c>
      <c r="BB246" s="177" t="s">
        <v>109</v>
      </c>
      <c r="BC246" s="177" t="s">
        <v>126</v>
      </c>
      <c r="BD246" s="177" t="s">
        <v>109</v>
      </c>
      <c r="BE246" s="180" t="s">
        <v>1819</v>
      </c>
      <c r="BF246" s="180" t="s">
        <v>152</v>
      </c>
      <c r="BG246" s="180" t="s">
        <v>1820</v>
      </c>
      <c r="BH246" s="177" t="s">
        <v>699</v>
      </c>
      <c r="BI246" s="177" t="s">
        <v>326</v>
      </c>
      <c r="BJ246" s="177" t="b">
        <v>1</v>
      </c>
      <c r="BK246" s="233">
        <v>1128.85682</v>
      </c>
      <c r="BL246" s="234" t="s">
        <v>128</v>
      </c>
      <c r="BM246" s="233">
        <v>1142.30242</v>
      </c>
      <c r="BN246" s="233">
        <v>83.614429999999999</v>
      </c>
      <c r="BO246" s="233">
        <v>212.02731</v>
      </c>
      <c r="BP246" s="233">
        <v>652.93272999999999</v>
      </c>
      <c r="BQ246" s="233">
        <v>182.84110999999999</v>
      </c>
      <c r="BR246" s="233">
        <v>10.51998</v>
      </c>
      <c r="BS246" s="233">
        <v>0.36686000000000002</v>
      </c>
      <c r="BT246" s="233">
        <v>0</v>
      </c>
      <c r="BU246" s="233">
        <v>0</v>
      </c>
      <c r="BV246" s="233">
        <v>0</v>
      </c>
      <c r="BW246" s="233">
        <v>0</v>
      </c>
      <c r="BX246" s="233">
        <v>0</v>
      </c>
      <c r="BY246" s="234">
        <v>0</v>
      </c>
      <c r="BZ246" s="236" t="s">
        <v>109</v>
      </c>
      <c r="CA246" s="236" t="s">
        <v>109</v>
      </c>
      <c r="CB246" s="236" t="s">
        <v>154</v>
      </c>
      <c r="CC246" s="233">
        <v>0</v>
      </c>
      <c r="CD246" s="233">
        <v>0</v>
      </c>
      <c r="CE246" s="233">
        <v>0</v>
      </c>
      <c r="CF246" s="233">
        <v>1131.4155800000001</v>
      </c>
      <c r="CG246" s="233">
        <v>10.51998</v>
      </c>
      <c r="CH246" s="233">
        <v>0.36686000000000002</v>
      </c>
      <c r="CI246" s="233">
        <v>0</v>
      </c>
      <c r="CJ246" s="237">
        <v>0</v>
      </c>
      <c r="CK246" s="177" t="s">
        <v>128</v>
      </c>
      <c r="CL246" s="177" t="s">
        <v>128</v>
      </c>
      <c r="CM246" s="155" t="s">
        <v>109</v>
      </c>
      <c r="CN246" s="229">
        <v>0</v>
      </c>
      <c r="CO246" s="229">
        <v>1</v>
      </c>
      <c r="CP246" t="s">
        <v>155</v>
      </c>
      <c r="CR246" s="248"/>
    </row>
    <row r="247" spans="1:96" ht="14.4" x14ac:dyDescent="0.3">
      <c r="A247">
        <v>244</v>
      </c>
      <c r="B247" s="173" t="s">
        <v>1821</v>
      </c>
      <c r="C247" s="259"/>
      <c r="D247" s="260"/>
      <c r="E247" t="s">
        <v>1414</v>
      </c>
      <c r="F247" t="s">
        <v>1727</v>
      </c>
      <c r="G247" s="177" t="s">
        <v>688</v>
      </c>
      <c r="H247" s="177" t="s">
        <v>146</v>
      </c>
      <c r="I247" s="177" t="s">
        <v>109</v>
      </c>
      <c r="J247" s="177" t="s">
        <v>109</v>
      </c>
      <c r="K247" s="177" t="s">
        <v>1728</v>
      </c>
      <c r="L247" s="177" t="s">
        <v>251</v>
      </c>
      <c r="M247" s="177" t="s">
        <v>109</v>
      </c>
      <c r="N247" s="177" t="s">
        <v>109</v>
      </c>
      <c r="O247" s="180">
        <v>45696</v>
      </c>
      <c r="P247" s="177" t="s">
        <v>1822</v>
      </c>
      <c r="Q247" s="177" t="s">
        <v>109</v>
      </c>
      <c r="R247" s="177" t="s">
        <v>109</v>
      </c>
      <c r="S247" s="177" t="s">
        <v>109</v>
      </c>
      <c r="T247" s="177" t="s">
        <v>1733</v>
      </c>
      <c r="U247" s="177" t="s">
        <v>117</v>
      </c>
      <c r="V247" s="177" t="b">
        <v>0</v>
      </c>
      <c r="W247" s="177" t="s">
        <v>109</v>
      </c>
      <c r="X247" s="261"/>
      <c r="Y247" s="177" t="s">
        <v>1782</v>
      </c>
      <c r="Z247" s="177" t="s">
        <v>109</v>
      </c>
      <c r="AA247" s="177" t="s">
        <v>215</v>
      </c>
      <c r="AB247" s="177" t="s">
        <v>109</v>
      </c>
      <c r="AC247" s="177">
        <v>1.1000000000000001</v>
      </c>
      <c r="AD247" s="177" t="s">
        <v>1823</v>
      </c>
      <c r="AE247" s="177" t="s">
        <v>1729</v>
      </c>
      <c r="AF247" s="177">
        <v>1</v>
      </c>
      <c r="AG247" s="177">
        <v>20126</v>
      </c>
      <c r="AH247" s="177" t="s">
        <v>121</v>
      </c>
      <c r="AI247" s="177" t="b">
        <v>1</v>
      </c>
      <c r="AJ247" s="180" t="s">
        <v>1824</v>
      </c>
      <c r="AK247" s="177" t="s">
        <v>122</v>
      </c>
      <c r="AL247" s="177" t="s">
        <v>109</v>
      </c>
      <c r="AM247" s="177" t="s">
        <v>109</v>
      </c>
      <c r="AN247" s="177" t="b">
        <v>0</v>
      </c>
      <c r="AO247" s="177" t="s">
        <v>109</v>
      </c>
      <c r="AP247" s="177" t="s">
        <v>109</v>
      </c>
      <c r="AQ247" s="177" t="s">
        <v>109</v>
      </c>
      <c r="AR247" s="177" t="b">
        <v>0</v>
      </c>
      <c r="AS247" s="177" t="s">
        <v>123</v>
      </c>
      <c r="AT247" s="180" t="s">
        <v>123</v>
      </c>
      <c r="AU247" s="177" t="s">
        <v>124</v>
      </c>
      <c r="AV247" s="177" t="s">
        <v>109</v>
      </c>
      <c r="AW247" s="177" t="s">
        <v>109</v>
      </c>
      <c r="AX247" s="177" t="s">
        <v>109</v>
      </c>
      <c r="AY247" s="177" t="s">
        <v>135</v>
      </c>
      <c r="AZ247" s="177" t="s">
        <v>109</v>
      </c>
      <c r="BA247" s="177" t="s">
        <v>125</v>
      </c>
      <c r="BB247" s="177" t="s">
        <v>109</v>
      </c>
      <c r="BC247" s="177" t="s">
        <v>863</v>
      </c>
      <c r="BD247" s="177" t="s">
        <v>109</v>
      </c>
      <c r="BE247" s="180" t="s">
        <v>1825</v>
      </c>
      <c r="BF247" s="180" t="s">
        <v>127</v>
      </c>
      <c r="BG247" s="180" t="s">
        <v>227</v>
      </c>
      <c r="BH247" s="177" t="s">
        <v>699</v>
      </c>
      <c r="BI247" s="177" t="s">
        <v>109</v>
      </c>
      <c r="BJ247" s="177" t="b">
        <v>1</v>
      </c>
      <c r="BK247" s="233">
        <v>1314.2046399999999</v>
      </c>
      <c r="BL247" s="234" t="s">
        <v>128</v>
      </c>
      <c r="BM247" s="233">
        <v>3020.7618499999999</v>
      </c>
      <c r="BN247" s="233">
        <v>237.41914</v>
      </c>
      <c r="BO247" s="233">
        <v>566.87346000000002</v>
      </c>
      <c r="BP247" s="233">
        <v>294.37142</v>
      </c>
      <c r="BQ247" s="233">
        <v>704.27041999999994</v>
      </c>
      <c r="BR247" s="233">
        <v>1191.67851</v>
      </c>
      <c r="BS247" s="233">
        <v>26.148900000000001</v>
      </c>
      <c r="BT247" s="233">
        <v>0</v>
      </c>
      <c r="BU247" s="233">
        <v>0</v>
      </c>
      <c r="BV247" s="233">
        <v>0</v>
      </c>
      <c r="BW247" s="233">
        <v>0</v>
      </c>
      <c r="BX247" s="233">
        <v>0</v>
      </c>
      <c r="BY247" s="234">
        <v>0</v>
      </c>
      <c r="BZ247" s="236" t="s">
        <v>109</v>
      </c>
      <c r="CA247" s="236" t="s">
        <v>109</v>
      </c>
      <c r="CB247" s="236" t="s">
        <v>139</v>
      </c>
      <c r="CC247" s="233">
        <v>0</v>
      </c>
      <c r="CD247" s="233">
        <v>0</v>
      </c>
      <c r="CE247" s="233">
        <v>1094.8541600000001</v>
      </c>
      <c r="CF247" s="233">
        <v>78.761759999999995</v>
      </c>
      <c r="CG247" s="233">
        <v>1820.99703</v>
      </c>
      <c r="CH247" s="233">
        <v>26.148900000000001</v>
      </c>
      <c r="CI247" s="233">
        <v>0</v>
      </c>
      <c r="CJ247" s="237">
        <v>0</v>
      </c>
      <c r="CK247" s="177" t="s">
        <v>128</v>
      </c>
      <c r="CL247" s="177" t="s">
        <v>128</v>
      </c>
      <c r="CM247" s="155" t="s">
        <v>109</v>
      </c>
      <c r="CN247" s="229">
        <v>0</v>
      </c>
      <c r="CO247" s="229">
        <v>1</v>
      </c>
      <c r="CP247" t="s">
        <v>155</v>
      </c>
      <c r="CR247" s="248"/>
    </row>
    <row r="248" spans="1:96" ht="14.4" x14ac:dyDescent="0.3">
      <c r="A248">
        <v>245</v>
      </c>
      <c r="B248" s="173" t="s">
        <v>1826</v>
      </c>
      <c r="C248" s="259"/>
      <c r="D248" s="260"/>
      <c r="E248" t="s">
        <v>749</v>
      </c>
      <c r="F248" t="s">
        <v>1727</v>
      </c>
      <c r="G248" s="177" t="s">
        <v>688</v>
      </c>
      <c r="H248" s="177" t="s">
        <v>146</v>
      </c>
      <c r="I248" s="177" t="s">
        <v>109</v>
      </c>
      <c r="J248" s="177" t="s">
        <v>109</v>
      </c>
      <c r="K248" s="177" t="s">
        <v>1728</v>
      </c>
      <c r="L248" s="177" t="s">
        <v>251</v>
      </c>
      <c r="M248" s="177" t="s">
        <v>109</v>
      </c>
      <c r="N248" s="177" t="s">
        <v>109</v>
      </c>
      <c r="O248" s="180">
        <v>45692</v>
      </c>
      <c r="P248" s="177" t="s">
        <v>1827</v>
      </c>
      <c r="Q248" s="177" t="s">
        <v>109</v>
      </c>
      <c r="R248" s="177" t="s">
        <v>109</v>
      </c>
      <c r="S248" s="177" t="s">
        <v>109</v>
      </c>
      <c r="T248" s="177" t="s">
        <v>1733</v>
      </c>
      <c r="U248" s="177" t="s">
        <v>117</v>
      </c>
      <c r="V248" s="177" t="b">
        <v>0</v>
      </c>
      <c r="W248" s="177" t="s">
        <v>109</v>
      </c>
      <c r="X248" s="261"/>
      <c r="Y248" s="177" t="s">
        <v>1782</v>
      </c>
      <c r="Z248" s="177" t="s">
        <v>118</v>
      </c>
      <c r="AA248" s="177" t="s">
        <v>215</v>
      </c>
      <c r="AB248" s="177" t="s">
        <v>109</v>
      </c>
      <c r="AC248" s="177">
        <v>1.1000000000000001</v>
      </c>
      <c r="AD248" s="177" t="s">
        <v>1828</v>
      </c>
      <c r="AE248" s="177" t="s">
        <v>1729</v>
      </c>
      <c r="AF248" s="177">
        <v>1</v>
      </c>
      <c r="AG248" s="177">
        <v>20126</v>
      </c>
      <c r="AH248" s="177" t="s">
        <v>121</v>
      </c>
      <c r="AI248" s="177" t="b">
        <v>1</v>
      </c>
      <c r="AJ248" s="180">
        <v>43882</v>
      </c>
      <c r="AK248" s="177" t="s">
        <v>122</v>
      </c>
      <c r="AL248" s="177" t="s">
        <v>109</v>
      </c>
      <c r="AM248" s="177" t="s">
        <v>109</v>
      </c>
      <c r="AN248" s="177" t="b">
        <v>0</v>
      </c>
      <c r="AO248" s="177" t="s">
        <v>109</v>
      </c>
      <c r="AP248" s="177" t="s">
        <v>109</v>
      </c>
      <c r="AQ248" s="177" t="s">
        <v>109</v>
      </c>
      <c r="AR248" s="177" t="b">
        <v>0</v>
      </c>
      <c r="AS248" s="177" t="s">
        <v>123</v>
      </c>
      <c r="AT248" s="180" t="s">
        <v>123</v>
      </c>
      <c r="AU248" s="177" t="s">
        <v>124</v>
      </c>
      <c r="AV248" s="177" t="s">
        <v>109</v>
      </c>
      <c r="AW248" s="177" t="s">
        <v>109</v>
      </c>
      <c r="AX248" s="177" t="s">
        <v>109</v>
      </c>
      <c r="AY248" s="177" t="s">
        <v>135</v>
      </c>
      <c r="AZ248" s="177" t="s">
        <v>109</v>
      </c>
      <c r="BA248" s="177" t="s">
        <v>125</v>
      </c>
      <c r="BB248" s="177" t="s">
        <v>109</v>
      </c>
      <c r="BC248" s="177" t="s">
        <v>126</v>
      </c>
      <c r="BD248" s="177" t="s">
        <v>109</v>
      </c>
      <c r="BE248" s="180" t="s">
        <v>787</v>
      </c>
      <c r="BF248" s="180" t="s">
        <v>137</v>
      </c>
      <c r="BG248" s="180" t="s">
        <v>1829</v>
      </c>
      <c r="BH248" s="177" t="s">
        <v>109</v>
      </c>
      <c r="BI248" s="177" t="s">
        <v>109</v>
      </c>
      <c r="BJ248" s="177" t="b">
        <v>0</v>
      </c>
      <c r="BK248" s="233">
        <v>999.99900000000002</v>
      </c>
      <c r="BL248" s="234" t="s">
        <v>128</v>
      </c>
      <c r="BM248" s="233">
        <v>1022.83536</v>
      </c>
      <c r="BN248" s="233">
        <v>17.01661</v>
      </c>
      <c r="BO248" s="233">
        <v>222.44977</v>
      </c>
      <c r="BP248" s="233">
        <v>670.62598000000003</v>
      </c>
      <c r="BQ248" s="233">
        <v>111.05775</v>
      </c>
      <c r="BR248" s="233">
        <v>1.6852499999999999</v>
      </c>
      <c r="BS248" s="233">
        <v>0</v>
      </c>
      <c r="BT248" s="233">
        <v>0</v>
      </c>
      <c r="BU248" s="233">
        <v>0</v>
      </c>
      <c r="BV248" s="233">
        <v>0</v>
      </c>
      <c r="BW248" s="233">
        <v>0</v>
      </c>
      <c r="BX248" s="233">
        <v>0</v>
      </c>
      <c r="BY248" s="234">
        <v>0</v>
      </c>
      <c r="BZ248" s="236" t="s">
        <v>109</v>
      </c>
      <c r="CA248" s="236" t="s">
        <v>109</v>
      </c>
      <c r="CB248" s="233" t="s">
        <v>270</v>
      </c>
      <c r="CC248" s="233">
        <v>0</v>
      </c>
      <c r="CD248" s="233">
        <v>0</v>
      </c>
      <c r="CE248" s="233">
        <v>910.09235999999999</v>
      </c>
      <c r="CF248" s="233">
        <v>111.05775</v>
      </c>
      <c r="CG248" s="233">
        <v>1.6852499999999999</v>
      </c>
      <c r="CH248" s="233">
        <v>0</v>
      </c>
      <c r="CI248" s="233">
        <v>0</v>
      </c>
      <c r="CJ248" s="237">
        <v>0</v>
      </c>
      <c r="CK248" s="177" t="s">
        <v>128</v>
      </c>
      <c r="CL248" s="177" t="s">
        <v>128</v>
      </c>
      <c r="CM248" s="155" t="s">
        <v>109</v>
      </c>
      <c r="CN248" s="229">
        <v>0</v>
      </c>
      <c r="CO248" s="229">
        <v>1</v>
      </c>
      <c r="CP248" t="s">
        <v>155</v>
      </c>
      <c r="CR248" s="248"/>
    </row>
    <row r="249" spans="1:96" ht="14.4" x14ac:dyDescent="0.3">
      <c r="A249">
        <v>246</v>
      </c>
      <c r="B249" s="173" t="s">
        <v>1830</v>
      </c>
      <c r="C249" s="259"/>
      <c r="D249" s="260"/>
      <c r="E249" t="s">
        <v>410</v>
      </c>
      <c r="F249" t="s">
        <v>1727</v>
      </c>
      <c r="G249" s="177" t="s">
        <v>688</v>
      </c>
      <c r="H249" s="177" t="s">
        <v>146</v>
      </c>
      <c r="I249" s="177" t="s">
        <v>109</v>
      </c>
      <c r="J249" s="177" t="s">
        <v>109</v>
      </c>
      <c r="K249" s="177" t="s">
        <v>1728</v>
      </c>
      <c r="L249" s="177" t="s">
        <v>251</v>
      </c>
      <c r="M249" s="177" t="s">
        <v>109</v>
      </c>
      <c r="N249" s="177" t="s">
        <v>109</v>
      </c>
      <c r="O249" s="180">
        <v>45696</v>
      </c>
      <c r="P249" s="177" t="s">
        <v>1831</v>
      </c>
      <c r="Q249" s="177" t="s">
        <v>109</v>
      </c>
      <c r="R249" s="177" t="s">
        <v>109</v>
      </c>
      <c r="S249" s="177" t="s">
        <v>109</v>
      </c>
      <c r="T249" s="177" t="s">
        <v>1733</v>
      </c>
      <c r="U249" s="177" t="s">
        <v>117</v>
      </c>
      <c r="V249" s="177" t="b">
        <v>0</v>
      </c>
      <c r="W249" s="177" t="s">
        <v>487</v>
      </c>
      <c r="X249" s="261"/>
      <c r="Y249" s="177" t="s">
        <v>1782</v>
      </c>
      <c r="Z249" s="177" t="s">
        <v>118</v>
      </c>
      <c r="AA249" s="177" t="s">
        <v>215</v>
      </c>
      <c r="AB249" s="177" t="s">
        <v>109</v>
      </c>
      <c r="AC249" s="177">
        <v>1.1000000000000001</v>
      </c>
      <c r="AD249" s="177" t="s">
        <v>1832</v>
      </c>
      <c r="AE249" s="177" t="s">
        <v>1729</v>
      </c>
      <c r="AF249" s="177">
        <v>1</v>
      </c>
      <c r="AG249" s="177">
        <v>20126</v>
      </c>
      <c r="AH249" s="177" t="s">
        <v>121</v>
      </c>
      <c r="AI249" s="177" t="b">
        <v>1</v>
      </c>
      <c r="AJ249" s="180">
        <v>45245</v>
      </c>
      <c r="AK249" s="177" t="s">
        <v>122</v>
      </c>
      <c r="AL249" s="177">
        <v>2024</v>
      </c>
      <c r="AM249" s="177" t="s">
        <v>109</v>
      </c>
      <c r="AN249" s="177" t="b">
        <v>0</v>
      </c>
      <c r="AO249" s="177" t="s">
        <v>109</v>
      </c>
      <c r="AP249" s="177" t="s">
        <v>109</v>
      </c>
      <c r="AQ249" s="177" t="s">
        <v>109</v>
      </c>
      <c r="AR249" s="177" t="b">
        <v>0</v>
      </c>
      <c r="AS249" s="177" t="s">
        <v>123</v>
      </c>
      <c r="AT249" s="180" t="s">
        <v>123</v>
      </c>
      <c r="AU249" s="177" t="s">
        <v>124</v>
      </c>
      <c r="AV249" s="177" t="s">
        <v>109</v>
      </c>
      <c r="AW249" s="177" t="s">
        <v>226</v>
      </c>
      <c r="AX249" s="177" t="s">
        <v>118</v>
      </c>
      <c r="AY249" s="177" t="s">
        <v>135</v>
      </c>
      <c r="AZ249" s="177" t="s">
        <v>109</v>
      </c>
      <c r="BA249" s="177" t="s">
        <v>125</v>
      </c>
      <c r="BB249" s="177" t="s">
        <v>109</v>
      </c>
      <c r="BC249" s="177" t="s">
        <v>126</v>
      </c>
      <c r="BD249" s="177" t="s">
        <v>109</v>
      </c>
      <c r="BE249" s="180" t="s">
        <v>1833</v>
      </c>
      <c r="BF249" s="180" t="s">
        <v>891</v>
      </c>
      <c r="BG249" s="180" t="s">
        <v>1834</v>
      </c>
      <c r="BH249" s="177" t="s">
        <v>497</v>
      </c>
      <c r="BI249" s="177" t="s">
        <v>109</v>
      </c>
      <c r="BJ249" s="177" t="b">
        <v>1</v>
      </c>
      <c r="BK249" s="233">
        <v>513.56591000000003</v>
      </c>
      <c r="BL249" s="234" t="s">
        <v>128</v>
      </c>
      <c r="BM249" s="233">
        <v>1673.67875</v>
      </c>
      <c r="BN249" s="233">
        <v>0</v>
      </c>
      <c r="BO249" s="233">
        <v>0</v>
      </c>
      <c r="BP249" s="233">
        <v>0</v>
      </c>
      <c r="BQ249" s="233">
        <v>3.5588500000000001</v>
      </c>
      <c r="BR249" s="233">
        <v>1292.1099300000001</v>
      </c>
      <c r="BS249" s="233">
        <v>378.00997000000001</v>
      </c>
      <c r="BT249" s="233">
        <v>0</v>
      </c>
      <c r="BU249" s="233">
        <v>0</v>
      </c>
      <c r="BV249" s="233">
        <v>0</v>
      </c>
      <c r="BW249" s="233">
        <v>0</v>
      </c>
      <c r="BX249" s="233">
        <v>0</v>
      </c>
      <c r="BY249" s="234">
        <v>0</v>
      </c>
      <c r="BZ249" s="236" t="s">
        <v>109</v>
      </c>
      <c r="CA249" s="236" t="s">
        <v>109</v>
      </c>
      <c r="CB249" s="233">
        <v>2025</v>
      </c>
      <c r="CC249" s="233">
        <v>0</v>
      </c>
      <c r="CD249" s="233">
        <v>0</v>
      </c>
      <c r="CE249" s="233">
        <v>0</v>
      </c>
      <c r="CF249" s="233">
        <v>0</v>
      </c>
      <c r="CG249" s="233">
        <v>0</v>
      </c>
      <c r="CH249" s="233">
        <v>1673.67875</v>
      </c>
      <c r="CI249" s="233">
        <v>0</v>
      </c>
      <c r="CJ249" s="237">
        <v>0</v>
      </c>
      <c r="CK249" s="177" t="s">
        <v>128</v>
      </c>
      <c r="CL249" s="177" t="s">
        <v>128</v>
      </c>
      <c r="CM249" s="155" t="s">
        <v>109</v>
      </c>
      <c r="CN249" s="229">
        <v>0</v>
      </c>
      <c r="CO249" s="229">
        <v>1</v>
      </c>
      <c r="CP249" t="s">
        <v>155</v>
      </c>
      <c r="CR249" s="248"/>
    </row>
    <row r="250" spans="1:96" ht="14.4" x14ac:dyDescent="0.3">
      <c r="A250">
        <v>247</v>
      </c>
      <c r="B250" s="173" t="s">
        <v>1835</v>
      </c>
      <c r="C250" s="259"/>
      <c r="D250" s="260"/>
      <c r="E250" t="s">
        <v>410</v>
      </c>
      <c r="F250" t="s">
        <v>1727</v>
      </c>
      <c r="G250" s="177" t="s">
        <v>688</v>
      </c>
      <c r="H250" s="177" t="s">
        <v>146</v>
      </c>
      <c r="I250" s="177" t="s">
        <v>109</v>
      </c>
      <c r="J250" s="177" t="s">
        <v>109</v>
      </c>
      <c r="K250" s="177" t="s">
        <v>1728</v>
      </c>
      <c r="L250" s="177" t="s">
        <v>251</v>
      </c>
      <c r="M250" s="177" t="s">
        <v>109</v>
      </c>
      <c r="N250" s="177" t="s">
        <v>109</v>
      </c>
      <c r="O250" s="180">
        <v>45703</v>
      </c>
      <c r="P250" s="177" t="s">
        <v>1189</v>
      </c>
      <c r="Q250" s="177" t="s">
        <v>109</v>
      </c>
      <c r="R250" s="177" t="s">
        <v>109</v>
      </c>
      <c r="S250" s="177" t="s">
        <v>109</v>
      </c>
      <c r="T250" s="177" t="s">
        <v>1733</v>
      </c>
      <c r="U250" s="177" t="s">
        <v>117</v>
      </c>
      <c r="V250" s="177" t="b">
        <v>0</v>
      </c>
      <c r="W250" s="177" t="s">
        <v>123</v>
      </c>
      <c r="X250" s="261"/>
      <c r="Y250" s="177" t="s">
        <v>1782</v>
      </c>
      <c r="Z250" s="177" t="s">
        <v>118</v>
      </c>
      <c r="AA250" s="177" t="s">
        <v>1771</v>
      </c>
      <c r="AB250" s="177" t="s">
        <v>109</v>
      </c>
      <c r="AC250" s="177">
        <v>1.1000000000000001</v>
      </c>
      <c r="AD250" s="177" t="s">
        <v>1836</v>
      </c>
      <c r="AE250" s="177" t="s">
        <v>1729</v>
      </c>
      <c r="AF250" s="177">
        <v>1</v>
      </c>
      <c r="AG250" s="177">
        <v>20126</v>
      </c>
      <c r="AH250" s="177" t="s">
        <v>121</v>
      </c>
      <c r="AI250" s="177" t="b">
        <v>1</v>
      </c>
      <c r="AJ250" s="180">
        <v>42858</v>
      </c>
      <c r="AK250" s="177" t="s">
        <v>122</v>
      </c>
      <c r="AL250" s="177">
        <v>2019</v>
      </c>
      <c r="AM250" s="177" t="s">
        <v>109</v>
      </c>
      <c r="AN250" s="177" t="b">
        <v>0</v>
      </c>
      <c r="AO250" s="177" t="s">
        <v>109</v>
      </c>
      <c r="AP250" s="177" t="s">
        <v>109</v>
      </c>
      <c r="AQ250" s="177" t="s">
        <v>109</v>
      </c>
      <c r="AR250" s="177" t="b">
        <v>0</v>
      </c>
      <c r="AS250" s="177" t="s">
        <v>123</v>
      </c>
      <c r="AT250" s="180" t="s">
        <v>123</v>
      </c>
      <c r="AU250" s="177" t="s">
        <v>124</v>
      </c>
      <c r="AV250" s="177" t="s">
        <v>109</v>
      </c>
      <c r="AW250" s="177" t="s">
        <v>226</v>
      </c>
      <c r="AX250" s="177" t="s">
        <v>118</v>
      </c>
      <c r="AY250" s="177" t="s">
        <v>135</v>
      </c>
      <c r="AZ250" s="177" t="s">
        <v>109</v>
      </c>
      <c r="BA250" s="177" t="s">
        <v>125</v>
      </c>
      <c r="BB250" s="177" t="s">
        <v>109</v>
      </c>
      <c r="BC250" s="177" t="s">
        <v>863</v>
      </c>
      <c r="BD250" s="177" t="s">
        <v>109</v>
      </c>
      <c r="BE250" s="180" t="s">
        <v>592</v>
      </c>
      <c r="BF250" s="180" t="s">
        <v>1324</v>
      </c>
      <c r="BG250" s="180" t="s">
        <v>1837</v>
      </c>
      <c r="BH250" s="177" t="s">
        <v>699</v>
      </c>
      <c r="BI250" s="177" t="s">
        <v>109</v>
      </c>
      <c r="BJ250" s="177" t="b">
        <v>1</v>
      </c>
      <c r="BK250" s="233">
        <v>80</v>
      </c>
      <c r="BL250" s="234" t="s">
        <v>128</v>
      </c>
      <c r="BM250" s="233">
        <v>4478.0921200000003</v>
      </c>
      <c r="BN250" s="233">
        <v>225.26527999999999</v>
      </c>
      <c r="BO250" s="233">
        <v>17.236070000000002</v>
      </c>
      <c r="BP250" s="233">
        <v>74.057540000000003</v>
      </c>
      <c r="BQ250" s="233">
        <v>147.98057</v>
      </c>
      <c r="BR250" s="233">
        <v>3329.3826600000002</v>
      </c>
      <c r="BS250" s="233">
        <v>71.846190000000007</v>
      </c>
      <c r="BT250" s="233">
        <v>0</v>
      </c>
      <c r="BU250" s="233">
        <v>0</v>
      </c>
      <c r="BV250" s="233">
        <v>0</v>
      </c>
      <c r="BW250" s="233">
        <v>0</v>
      </c>
      <c r="BX250" s="233">
        <v>0</v>
      </c>
      <c r="BY250" s="234">
        <v>0</v>
      </c>
      <c r="BZ250" s="236" t="s">
        <v>109</v>
      </c>
      <c r="CA250" s="236" t="s">
        <v>109</v>
      </c>
      <c r="CB250" s="233" t="s">
        <v>129</v>
      </c>
      <c r="CC250" s="233">
        <v>225.26527999999999</v>
      </c>
      <c r="CD250" s="233">
        <v>17.236070000000002</v>
      </c>
      <c r="CE250" s="233">
        <v>74.057540000000003</v>
      </c>
      <c r="CF250" s="233">
        <v>147.98057</v>
      </c>
      <c r="CG250" s="233">
        <v>3329.3826600000002</v>
      </c>
      <c r="CH250" s="233">
        <v>71.846190000000007</v>
      </c>
      <c r="CI250" s="233">
        <v>0</v>
      </c>
      <c r="CJ250" s="237">
        <v>0</v>
      </c>
      <c r="CK250" s="177" t="s">
        <v>128</v>
      </c>
      <c r="CL250" s="177" t="s">
        <v>128</v>
      </c>
      <c r="CM250" s="155" t="s">
        <v>109</v>
      </c>
      <c r="CN250" s="229">
        <v>0</v>
      </c>
      <c r="CO250" s="229">
        <v>1</v>
      </c>
      <c r="CP250" t="s">
        <v>155</v>
      </c>
      <c r="CR250" s="248"/>
    </row>
    <row r="251" spans="1:96" ht="14.4" x14ac:dyDescent="0.3">
      <c r="A251">
        <v>248</v>
      </c>
      <c r="B251" s="173" t="s">
        <v>1838</v>
      </c>
      <c r="C251" s="259"/>
      <c r="D251" s="260"/>
      <c r="E251" t="s">
        <v>410</v>
      </c>
      <c r="F251" t="s">
        <v>1727</v>
      </c>
      <c r="G251" s="177" t="s">
        <v>688</v>
      </c>
      <c r="H251" s="177" t="s">
        <v>146</v>
      </c>
      <c r="I251" s="177" t="s">
        <v>109</v>
      </c>
      <c r="J251" s="177" t="s">
        <v>109</v>
      </c>
      <c r="K251" s="177" t="s">
        <v>1728</v>
      </c>
      <c r="L251" s="177" t="s">
        <v>251</v>
      </c>
      <c r="M251" s="177" t="s">
        <v>109</v>
      </c>
      <c r="N251" s="177" t="s">
        <v>109</v>
      </c>
      <c r="O251" s="180">
        <v>45696</v>
      </c>
      <c r="P251" s="177" t="s">
        <v>1839</v>
      </c>
      <c r="Q251" s="177" t="s">
        <v>109</v>
      </c>
      <c r="R251" s="177" t="s">
        <v>109</v>
      </c>
      <c r="S251" s="177" t="s">
        <v>109</v>
      </c>
      <c r="T251" s="177" t="s">
        <v>1733</v>
      </c>
      <c r="U251" s="177" t="s">
        <v>117</v>
      </c>
      <c r="V251" s="177" t="b">
        <v>0</v>
      </c>
      <c r="W251" s="177" t="s">
        <v>123</v>
      </c>
      <c r="X251" s="261"/>
      <c r="Y251" s="177" t="s">
        <v>1782</v>
      </c>
      <c r="Z251" s="177" t="s">
        <v>118</v>
      </c>
      <c r="AA251" s="177" t="s">
        <v>215</v>
      </c>
      <c r="AB251" s="177" t="s">
        <v>109</v>
      </c>
      <c r="AC251" s="177">
        <v>1.1000000000000001</v>
      </c>
      <c r="AD251" s="177" t="s">
        <v>1840</v>
      </c>
      <c r="AE251" s="177" t="s">
        <v>1729</v>
      </c>
      <c r="AF251" s="177">
        <v>1</v>
      </c>
      <c r="AG251" s="177">
        <v>20126</v>
      </c>
      <c r="AH251" s="177" t="s">
        <v>121</v>
      </c>
      <c r="AI251" s="177" t="b">
        <v>1</v>
      </c>
      <c r="AJ251" s="180" t="s">
        <v>1841</v>
      </c>
      <c r="AK251" s="177" t="s">
        <v>122</v>
      </c>
      <c r="AL251" s="177">
        <v>2019</v>
      </c>
      <c r="AM251" s="177" t="s">
        <v>109</v>
      </c>
      <c r="AN251" s="177" t="b">
        <v>0</v>
      </c>
      <c r="AO251" s="177" t="s">
        <v>109</v>
      </c>
      <c r="AP251" s="177" t="s">
        <v>109</v>
      </c>
      <c r="AQ251" s="177" t="s">
        <v>109</v>
      </c>
      <c r="AR251" s="177" t="b">
        <v>0</v>
      </c>
      <c r="AS251" s="177" t="s">
        <v>123</v>
      </c>
      <c r="AT251" s="180" t="s">
        <v>123</v>
      </c>
      <c r="AU251" s="177" t="s">
        <v>124</v>
      </c>
      <c r="AV251" s="177" t="s">
        <v>109</v>
      </c>
      <c r="AW251" s="177" t="s">
        <v>226</v>
      </c>
      <c r="AX251" s="177" t="s">
        <v>118</v>
      </c>
      <c r="AY251" s="177" t="s">
        <v>135</v>
      </c>
      <c r="AZ251" s="177" t="s">
        <v>109</v>
      </c>
      <c r="BA251" s="177" t="s">
        <v>125</v>
      </c>
      <c r="BB251" s="177" t="s">
        <v>109</v>
      </c>
      <c r="BC251" s="177" t="s">
        <v>126</v>
      </c>
      <c r="BD251" s="177" t="s">
        <v>109</v>
      </c>
      <c r="BE251" s="180" t="s">
        <v>1842</v>
      </c>
      <c r="BF251" s="180" t="s">
        <v>1774</v>
      </c>
      <c r="BG251" s="180" t="s">
        <v>1843</v>
      </c>
      <c r="BH251" s="177" t="s">
        <v>699</v>
      </c>
      <c r="BI251" s="177" t="s">
        <v>326</v>
      </c>
      <c r="BJ251" s="177" t="b">
        <v>1</v>
      </c>
      <c r="BK251" s="233">
        <v>396.50963000000002</v>
      </c>
      <c r="BL251" s="234" t="s">
        <v>128</v>
      </c>
      <c r="BM251" s="233">
        <v>5592.7547699999996</v>
      </c>
      <c r="BN251" s="233">
        <v>1175.8816099999999</v>
      </c>
      <c r="BO251" s="233">
        <v>261.37952999999999</v>
      </c>
      <c r="BP251" s="233">
        <v>553.44781</v>
      </c>
      <c r="BQ251" s="233">
        <v>582.15031999999997</v>
      </c>
      <c r="BR251" s="233">
        <v>2449.2890499999999</v>
      </c>
      <c r="BS251" s="233">
        <v>94.724739999999997</v>
      </c>
      <c r="BT251" s="233">
        <v>0</v>
      </c>
      <c r="BU251" s="233">
        <v>0</v>
      </c>
      <c r="BV251" s="233">
        <v>0</v>
      </c>
      <c r="BW251" s="233">
        <v>0</v>
      </c>
      <c r="BX251" s="233">
        <v>0</v>
      </c>
      <c r="BY251" s="234">
        <v>0</v>
      </c>
      <c r="BZ251" s="236" t="s">
        <v>109</v>
      </c>
      <c r="CA251" s="236" t="s">
        <v>109</v>
      </c>
      <c r="CB251" s="233" t="s">
        <v>196</v>
      </c>
      <c r="CC251" s="233">
        <v>0</v>
      </c>
      <c r="CD251" s="233">
        <v>0</v>
      </c>
      <c r="CE251" s="233">
        <v>0</v>
      </c>
      <c r="CF251" s="233">
        <v>0</v>
      </c>
      <c r="CG251" s="233">
        <v>5498.0300299999999</v>
      </c>
      <c r="CH251" s="233">
        <v>94.724739999999997</v>
      </c>
      <c r="CI251" s="233">
        <v>0</v>
      </c>
      <c r="CJ251" s="237">
        <v>0</v>
      </c>
      <c r="CK251" s="177" t="s">
        <v>128</v>
      </c>
      <c r="CL251" s="177" t="s">
        <v>128</v>
      </c>
      <c r="CM251" s="155" t="s">
        <v>109</v>
      </c>
      <c r="CN251" s="229">
        <v>0</v>
      </c>
      <c r="CO251" s="229">
        <v>1</v>
      </c>
      <c r="CP251" t="s">
        <v>155</v>
      </c>
      <c r="CR251" s="248"/>
    </row>
    <row r="252" spans="1:96" ht="14.4" x14ac:dyDescent="0.3">
      <c r="A252">
        <v>249</v>
      </c>
      <c r="B252" s="173" t="s">
        <v>1844</v>
      </c>
      <c r="C252" s="259"/>
      <c r="D252" s="260"/>
      <c r="E252" t="s">
        <v>329</v>
      </c>
      <c r="F252" t="s">
        <v>1845</v>
      </c>
      <c r="G252" s="177" t="s">
        <v>688</v>
      </c>
      <c r="H252" s="177" t="s">
        <v>146</v>
      </c>
      <c r="I252" s="177" t="s">
        <v>109</v>
      </c>
      <c r="J252" s="177" t="s">
        <v>109</v>
      </c>
      <c r="K252" s="177" t="s">
        <v>1728</v>
      </c>
      <c r="L252" s="177" t="s">
        <v>251</v>
      </c>
      <c r="M252" s="177" t="s">
        <v>109</v>
      </c>
      <c r="N252" s="177" t="s">
        <v>109</v>
      </c>
      <c r="O252" s="180">
        <v>45703</v>
      </c>
      <c r="P252" s="177" t="s">
        <v>109</v>
      </c>
      <c r="Q252" s="177" t="s">
        <v>109</v>
      </c>
      <c r="R252" s="177" t="s">
        <v>109</v>
      </c>
      <c r="S252" s="177" t="s">
        <v>109</v>
      </c>
      <c r="T252" s="177" t="s">
        <v>1733</v>
      </c>
      <c r="U252" s="177" t="s">
        <v>117</v>
      </c>
      <c r="V252" s="177" t="b">
        <v>0</v>
      </c>
      <c r="W252" s="177" t="s">
        <v>109</v>
      </c>
      <c r="X252" s="261"/>
      <c r="Y252" s="177" t="s">
        <v>1782</v>
      </c>
      <c r="Z252" s="177" t="s">
        <v>118</v>
      </c>
      <c r="AA252" s="177" t="s">
        <v>215</v>
      </c>
      <c r="AB252" s="177" t="s">
        <v>109</v>
      </c>
      <c r="AC252" s="177">
        <v>1.1000000000000001</v>
      </c>
      <c r="AD252" s="177" t="s">
        <v>1846</v>
      </c>
      <c r="AE252" s="177" t="s">
        <v>1847</v>
      </c>
      <c r="AF252" s="177">
        <v>1</v>
      </c>
      <c r="AG252" s="177">
        <v>20126</v>
      </c>
      <c r="AH252" s="177" t="s">
        <v>121</v>
      </c>
      <c r="AI252" s="177" t="b">
        <v>1</v>
      </c>
      <c r="AJ252" s="180" t="s">
        <v>1848</v>
      </c>
      <c r="AK252" s="177" t="s">
        <v>122</v>
      </c>
      <c r="AL252" s="177" t="s">
        <v>109</v>
      </c>
      <c r="AM252" s="177" t="s">
        <v>109</v>
      </c>
      <c r="AN252" s="177" t="b">
        <v>0</v>
      </c>
      <c r="AO252" s="177" t="s">
        <v>109</v>
      </c>
      <c r="AP252" s="177" t="s">
        <v>109</v>
      </c>
      <c r="AQ252" s="177" t="s">
        <v>109</v>
      </c>
      <c r="AR252" s="177" t="b">
        <v>0</v>
      </c>
      <c r="AS252" s="177" t="s">
        <v>123</v>
      </c>
      <c r="AT252" s="180" t="s">
        <v>123</v>
      </c>
      <c r="AU252" s="177" t="s">
        <v>124</v>
      </c>
      <c r="AV252" s="177" t="s">
        <v>109</v>
      </c>
      <c r="AW252" s="177" t="s">
        <v>109</v>
      </c>
      <c r="AX252" s="177" t="s">
        <v>109</v>
      </c>
      <c r="AY252" s="177" t="s">
        <v>135</v>
      </c>
      <c r="AZ252" s="177" t="s">
        <v>109</v>
      </c>
      <c r="BA252" s="177" t="s">
        <v>125</v>
      </c>
      <c r="BB252" s="177" t="s">
        <v>109</v>
      </c>
      <c r="BC252" s="177" t="s">
        <v>1146</v>
      </c>
      <c r="BD252" s="177" t="s">
        <v>109</v>
      </c>
      <c r="BE252" s="180" t="s">
        <v>592</v>
      </c>
      <c r="BF252" s="180" t="s">
        <v>1324</v>
      </c>
      <c r="BG252" s="180" t="s">
        <v>1849</v>
      </c>
      <c r="BH252" s="177" t="s">
        <v>699</v>
      </c>
      <c r="BI252" s="177" t="s">
        <v>327</v>
      </c>
      <c r="BJ252" s="177" t="b">
        <v>1</v>
      </c>
      <c r="BK252" s="233">
        <v>179.99799999999999</v>
      </c>
      <c r="BL252" s="234" t="s">
        <v>128</v>
      </c>
      <c r="BM252" s="233">
        <v>4366.4182099999998</v>
      </c>
      <c r="BN252" s="233">
        <v>1127.8585499999999</v>
      </c>
      <c r="BO252" s="233">
        <v>161.76168999999999</v>
      </c>
      <c r="BP252" s="233">
        <v>174.00378000000001</v>
      </c>
      <c r="BQ252" s="233">
        <v>1635.0634299999999</v>
      </c>
      <c r="BR252" s="233">
        <v>945.46240999999998</v>
      </c>
      <c r="BS252" s="233">
        <v>91.321770000000001</v>
      </c>
      <c r="BT252" s="233">
        <v>0</v>
      </c>
      <c r="BU252" s="233">
        <v>0</v>
      </c>
      <c r="BV252" s="233">
        <v>0</v>
      </c>
      <c r="BW252" s="233">
        <v>0</v>
      </c>
      <c r="BX252" s="233">
        <v>0</v>
      </c>
      <c r="BY252" s="234">
        <v>0</v>
      </c>
      <c r="BZ252" s="236" t="s">
        <v>109</v>
      </c>
      <c r="CA252" s="236" t="s">
        <v>109</v>
      </c>
      <c r="CB252" s="236" t="s">
        <v>842</v>
      </c>
      <c r="CC252" s="233">
        <v>0</v>
      </c>
      <c r="CD252" s="233">
        <v>22.152699999999999</v>
      </c>
      <c r="CE252" s="233">
        <v>3.74525</v>
      </c>
      <c r="CF252" s="233">
        <v>1171.45261</v>
      </c>
      <c r="CG252" s="233">
        <v>3077.7458799999999</v>
      </c>
      <c r="CH252" s="233">
        <v>91.321770000000001</v>
      </c>
      <c r="CI252" s="233">
        <v>0</v>
      </c>
      <c r="CJ252" s="237">
        <v>0</v>
      </c>
      <c r="CK252" s="177" t="s">
        <v>128</v>
      </c>
      <c r="CL252" s="177" t="s">
        <v>128</v>
      </c>
      <c r="CM252" s="155" t="s">
        <v>109</v>
      </c>
      <c r="CN252" s="229">
        <v>0</v>
      </c>
      <c r="CO252" s="229">
        <v>1</v>
      </c>
      <c r="CP252" t="s">
        <v>1850</v>
      </c>
      <c r="CR252" s="248"/>
    </row>
    <row r="253" spans="1:96" ht="14.4" x14ac:dyDescent="0.3">
      <c r="A253">
        <v>250</v>
      </c>
      <c r="B253" s="173" t="s">
        <v>1851</v>
      </c>
      <c r="C253" s="259"/>
      <c r="D253" s="260"/>
      <c r="E253" t="s">
        <v>1852</v>
      </c>
      <c r="F253" t="s">
        <v>1727</v>
      </c>
      <c r="G253" s="177" t="s">
        <v>688</v>
      </c>
      <c r="H253" s="177" t="s">
        <v>146</v>
      </c>
      <c r="I253" s="177" t="s">
        <v>109</v>
      </c>
      <c r="J253" s="177" t="s">
        <v>109</v>
      </c>
      <c r="K253" s="177" t="s">
        <v>1728</v>
      </c>
      <c r="L253" s="177" t="s">
        <v>251</v>
      </c>
      <c r="M253" s="177" t="s">
        <v>109</v>
      </c>
      <c r="N253" s="177" t="s">
        <v>109</v>
      </c>
      <c r="O253" s="180">
        <v>45664</v>
      </c>
      <c r="P253" s="177" t="s">
        <v>109</v>
      </c>
      <c r="Q253" s="177" t="s">
        <v>109</v>
      </c>
      <c r="R253" s="177" t="s">
        <v>109</v>
      </c>
      <c r="S253" s="177" t="s">
        <v>109</v>
      </c>
      <c r="T253" s="177" t="s">
        <v>109</v>
      </c>
      <c r="U253" s="177" t="s">
        <v>117</v>
      </c>
      <c r="V253" s="177" t="b">
        <v>0</v>
      </c>
      <c r="W253" s="177" t="s">
        <v>109</v>
      </c>
      <c r="X253" s="261"/>
      <c r="Y253" s="177">
        <v>0.1</v>
      </c>
      <c r="Z253" s="177" t="s">
        <v>118</v>
      </c>
      <c r="AA253" s="177" t="s">
        <v>215</v>
      </c>
      <c r="AB253" s="177" t="s">
        <v>109</v>
      </c>
      <c r="AC253" s="177">
        <v>1.1000000000000001</v>
      </c>
      <c r="AD253" s="177" t="s">
        <v>1853</v>
      </c>
      <c r="AE253" s="177" t="s">
        <v>1729</v>
      </c>
      <c r="AF253" s="177">
        <v>1</v>
      </c>
      <c r="AG253" s="177">
        <v>20126</v>
      </c>
      <c r="AH253" s="177" t="s">
        <v>121</v>
      </c>
      <c r="AI253" s="177" t="b">
        <v>1</v>
      </c>
      <c r="AJ253" s="180">
        <v>45194</v>
      </c>
      <c r="AK253" s="177" t="s">
        <v>122</v>
      </c>
      <c r="AL253" s="177">
        <v>2024</v>
      </c>
      <c r="AM253" s="177" t="s">
        <v>109</v>
      </c>
      <c r="AN253" s="179" t="b">
        <v>0</v>
      </c>
      <c r="AO253" s="177" t="s">
        <v>109</v>
      </c>
      <c r="AP253" s="177" t="s">
        <v>109</v>
      </c>
      <c r="AQ253" s="177" t="s">
        <v>109</v>
      </c>
      <c r="AR253" s="177" t="s">
        <v>984</v>
      </c>
      <c r="AS253" s="177" t="s">
        <v>123</v>
      </c>
      <c r="AT253" s="180" t="s">
        <v>109</v>
      </c>
      <c r="AU253" s="177" t="s">
        <v>124</v>
      </c>
      <c r="AV253" s="177" t="s">
        <v>109</v>
      </c>
      <c r="AW253" s="177" t="s">
        <v>195</v>
      </c>
      <c r="AX253" s="177" t="s">
        <v>109</v>
      </c>
      <c r="AY253" s="177" t="s">
        <v>135</v>
      </c>
      <c r="AZ253" s="177" t="s">
        <v>109</v>
      </c>
      <c r="BA253" s="177" t="s">
        <v>125</v>
      </c>
      <c r="BB253" s="177" t="s">
        <v>109</v>
      </c>
      <c r="BC253" s="177" t="s">
        <v>126</v>
      </c>
      <c r="BD253" s="177" t="s">
        <v>109</v>
      </c>
      <c r="BE253" s="181" t="s">
        <v>1591</v>
      </c>
      <c r="BF253" s="180" t="s">
        <v>127</v>
      </c>
      <c r="BG253" s="180" t="s">
        <v>1854</v>
      </c>
      <c r="BH253" s="177" t="s">
        <v>609</v>
      </c>
      <c r="BI253" s="177" t="s">
        <v>109</v>
      </c>
      <c r="BJ253" s="177" t="b">
        <v>1</v>
      </c>
      <c r="BK253" s="233">
        <v>2159.3120699999999</v>
      </c>
      <c r="BL253" s="234" t="s">
        <v>128</v>
      </c>
      <c r="BM253" s="236">
        <v>1059.91805</v>
      </c>
      <c r="BN253" s="236">
        <v>0</v>
      </c>
      <c r="BO253" s="236">
        <v>0</v>
      </c>
      <c r="BP253" s="236">
        <v>0</v>
      </c>
      <c r="BQ253" s="236">
        <v>72.538960000000003</v>
      </c>
      <c r="BR253" s="236">
        <v>1199.78955</v>
      </c>
      <c r="BS253" s="236">
        <v>-212.41046</v>
      </c>
      <c r="BT253" s="236">
        <v>0</v>
      </c>
      <c r="BU253" s="236">
        <v>0</v>
      </c>
      <c r="BV253" s="236">
        <v>0</v>
      </c>
      <c r="BW253" s="236">
        <v>0</v>
      </c>
      <c r="BX253" s="236">
        <v>0</v>
      </c>
      <c r="BY253" s="234">
        <v>0</v>
      </c>
      <c r="BZ253" s="236" t="s">
        <v>109</v>
      </c>
      <c r="CA253" s="236" t="s">
        <v>109</v>
      </c>
      <c r="CB253" s="236" t="s">
        <v>196</v>
      </c>
      <c r="CC253" s="236">
        <v>0</v>
      </c>
      <c r="CD253" s="236">
        <v>0</v>
      </c>
      <c r="CE253" s="236">
        <v>0</v>
      </c>
      <c r="CF253" s="236">
        <v>0</v>
      </c>
      <c r="CG253" s="236">
        <v>1272.3285100000001</v>
      </c>
      <c r="CH253" s="236">
        <v>-212.41046</v>
      </c>
      <c r="CI253" s="236">
        <v>0</v>
      </c>
      <c r="CJ253" s="237">
        <v>0</v>
      </c>
      <c r="CK253" s="177" t="s">
        <v>128</v>
      </c>
      <c r="CL253" s="177" t="s">
        <v>128</v>
      </c>
      <c r="CM253" s="155" t="s">
        <v>109</v>
      </c>
      <c r="CN253" s="229">
        <v>0</v>
      </c>
      <c r="CO253" s="229">
        <v>1</v>
      </c>
      <c r="CP253" t="s">
        <v>155</v>
      </c>
      <c r="CR253" s="248"/>
    </row>
    <row r="254" spans="1:96" ht="14.4" x14ac:dyDescent="0.3">
      <c r="A254">
        <v>251</v>
      </c>
      <c r="B254" s="173" t="s">
        <v>1855</v>
      </c>
      <c r="C254" s="259"/>
      <c r="D254" s="260"/>
      <c r="E254" t="s">
        <v>749</v>
      </c>
      <c r="F254" t="s">
        <v>1727</v>
      </c>
      <c r="G254" s="177" t="s">
        <v>688</v>
      </c>
      <c r="H254" s="177" t="s">
        <v>146</v>
      </c>
      <c r="I254" s="177" t="s">
        <v>109</v>
      </c>
      <c r="J254" s="177" t="s">
        <v>109</v>
      </c>
      <c r="K254" s="177" t="s">
        <v>1728</v>
      </c>
      <c r="L254" s="177" t="s">
        <v>251</v>
      </c>
      <c r="M254" s="177" t="s">
        <v>109</v>
      </c>
      <c r="N254" s="177" t="s">
        <v>109</v>
      </c>
      <c r="O254" s="180">
        <v>45698</v>
      </c>
      <c r="P254" s="177" t="s">
        <v>109</v>
      </c>
      <c r="Q254" s="177" t="s">
        <v>109</v>
      </c>
      <c r="R254" s="177" t="s">
        <v>109</v>
      </c>
      <c r="S254" s="177" t="s">
        <v>109</v>
      </c>
      <c r="T254" s="177" t="s">
        <v>109</v>
      </c>
      <c r="U254" s="177" t="s">
        <v>117</v>
      </c>
      <c r="V254" s="177" t="b">
        <v>0</v>
      </c>
      <c r="W254" s="177" t="s">
        <v>109</v>
      </c>
      <c r="X254" s="261"/>
      <c r="Y254" s="177">
        <v>0.1</v>
      </c>
      <c r="Z254" s="177" t="s">
        <v>118</v>
      </c>
      <c r="AA254" s="177" t="s">
        <v>215</v>
      </c>
      <c r="AB254" s="177" t="s">
        <v>109</v>
      </c>
      <c r="AC254" s="177">
        <v>1.1000000000000001</v>
      </c>
      <c r="AD254" s="177" t="s">
        <v>1856</v>
      </c>
      <c r="AE254" s="177" t="s">
        <v>1729</v>
      </c>
      <c r="AF254" s="177">
        <v>1</v>
      </c>
      <c r="AG254" s="177">
        <v>20126</v>
      </c>
      <c r="AH254" s="177" t="s">
        <v>121</v>
      </c>
      <c r="AI254" s="177" t="b">
        <v>1</v>
      </c>
      <c r="AJ254" s="180" t="s">
        <v>1857</v>
      </c>
      <c r="AK254" s="177" t="s">
        <v>122</v>
      </c>
      <c r="AL254" s="177">
        <v>2022</v>
      </c>
      <c r="AM254" s="177" t="s">
        <v>109</v>
      </c>
      <c r="AN254" s="179" t="b">
        <v>0</v>
      </c>
      <c r="AO254" s="177" t="s">
        <v>109</v>
      </c>
      <c r="AP254" s="177" t="s">
        <v>109</v>
      </c>
      <c r="AQ254" s="177" t="s">
        <v>109</v>
      </c>
      <c r="AR254" s="177" t="b">
        <v>0</v>
      </c>
      <c r="AS254" s="177" t="s">
        <v>123</v>
      </c>
      <c r="AT254" s="180" t="s">
        <v>109</v>
      </c>
      <c r="AU254" s="177" t="s">
        <v>124</v>
      </c>
      <c r="AV254" s="177" t="s">
        <v>109</v>
      </c>
      <c r="AW254" s="177" t="s">
        <v>195</v>
      </c>
      <c r="AX254" s="177" t="s">
        <v>109</v>
      </c>
      <c r="AY254" s="177" t="s">
        <v>135</v>
      </c>
      <c r="AZ254" s="177" t="s">
        <v>109</v>
      </c>
      <c r="BA254" s="177" t="s">
        <v>125</v>
      </c>
      <c r="BB254" s="177" t="s">
        <v>109</v>
      </c>
      <c r="BC254" s="177" t="s">
        <v>126</v>
      </c>
      <c r="BD254" s="177" t="s">
        <v>109</v>
      </c>
      <c r="BE254" s="181" t="s">
        <v>1858</v>
      </c>
      <c r="BF254" s="180" t="s">
        <v>1068</v>
      </c>
      <c r="BG254" s="180" t="s">
        <v>1859</v>
      </c>
      <c r="BH254" s="177" t="s">
        <v>699</v>
      </c>
      <c r="BI254" s="177" t="s">
        <v>109</v>
      </c>
      <c r="BJ254" s="177" t="b">
        <v>1</v>
      </c>
      <c r="BK254" s="233">
        <v>361.03438</v>
      </c>
      <c r="BL254" s="234" t="s">
        <v>128</v>
      </c>
      <c r="BM254" s="236">
        <v>1066.3564799999999</v>
      </c>
      <c r="BN254" s="236">
        <v>0</v>
      </c>
      <c r="BO254" s="236">
        <v>14.9283</v>
      </c>
      <c r="BP254" s="236">
        <v>65.400720000000007</v>
      </c>
      <c r="BQ254" s="236">
        <v>372.27488</v>
      </c>
      <c r="BR254" s="236">
        <v>514.55651999999998</v>
      </c>
      <c r="BS254" s="236">
        <v>99.196060000000003</v>
      </c>
      <c r="BT254" s="236">
        <v>0</v>
      </c>
      <c r="BU254" s="236">
        <v>0</v>
      </c>
      <c r="BV254" s="236">
        <v>0</v>
      </c>
      <c r="BW254" s="236">
        <v>0</v>
      </c>
      <c r="BX254" s="236">
        <v>0</v>
      </c>
      <c r="BY254" s="234">
        <v>0</v>
      </c>
      <c r="BZ254" s="236" t="s">
        <v>109</v>
      </c>
      <c r="CA254" s="236" t="s">
        <v>109</v>
      </c>
      <c r="CB254" s="236" t="s">
        <v>196</v>
      </c>
      <c r="CC254" s="236">
        <v>0</v>
      </c>
      <c r="CD254" s="236">
        <v>0</v>
      </c>
      <c r="CE254" s="236">
        <v>0</v>
      </c>
      <c r="CF254" s="236">
        <v>0</v>
      </c>
      <c r="CG254" s="236">
        <v>967.16042000000004</v>
      </c>
      <c r="CH254" s="236">
        <v>99.196060000000003</v>
      </c>
      <c r="CI254" s="236">
        <v>0</v>
      </c>
      <c r="CJ254" s="237">
        <v>0</v>
      </c>
      <c r="CK254" s="177" t="s">
        <v>128</v>
      </c>
      <c r="CL254" s="177" t="s">
        <v>128</v>
      </c>
      <c r="CM254" s="155" t="s">
        <v>109</v>
      </c>
      <c r="CN254" s="229">
        <v>0</v>
      </c>
      <c r="CO254" s="229">
        <v>1</v>
      </c>
      <c r="CP254" t="s">
        <v>155</v>
      </c>
      <c r="CR254" s="248"/>
    </row>
    <row r="255" spans="1:96" ht="14.4" x14ac:dyDescent="0.3">
      <c r="A255">
        <v>252</v>
      </c>
      <c r="B255" s="173" t="s">
        <v>1860</v>
      </c>
      <c r="C255" s="259"/>
      <c r="D255" s="260"/>
      <c r="E255" t="s">
        <v>329</v>
      </c>
      <c r="F255" t="s">
        <v>1861</v>
      </c>
      <c r="G255" s="177" t="s">
        <v>688</v>
      </c>
      <c r="H255" s="177" t="s">
        <v>146</v>
      </c>
      <c r="I255" s="177" t="s">
        <v>109</v>
      </c>
      <c r="J255" s="177" t="s">
        <v>109</v>
      </c>
      <c r="K255" s="177" t="s">
        <v>1728</v>
      </c>
      <c r="L255" s="177" t="s">
        <v>251</v>
      </c>
      <c r="M255" s="177" t="s">
        <v>109</v>
      </c>
      <c r="N255" s="177" t="s">
        <v>109</v>
      </c>
      <c r="O255" s="180">
        <v>45664</v>
      </c>
      <c r="P255" s="177" t="s">
        <v>109</v>
      </c>
      <c r="Q255" s="177" t="s">
        <v>109</v>
      </c>
      <c r="R255" s="177" t="s">
        <v>109</v>
      </c>
      <c r="S255" s="177" t="s">
        <v>109</v>
      </c>
      <c r="T255" s="177" t="s">
        <v>109</v>
      </c>
      <c r="U255" s="177" t="s">
        <v>117</v>
      </c>
      <c r="V255" s="177" t="b">
        <v>0</v>
      </c>
      <c r="W255" s="177" t="s">
        <v>109</v>
      </c>
      <c r="X255" s="261"/>
      <c r="Y255" s="177">
        <v>0.1</v>
      </c>
      <c r="Z255" s="177" t="s">
        <v>118</v>
      </c>
      <c r="AA255" s="177" t="s">
        <v>215</v>
      </c>
      <c r="AB255" s="177" t="s">
        <v>109</v>
      </c>
      <c r="AC255" s="177">
        <v>1.1000000000000001</v>
      </c>
      <c r="AD255" s="177" t="s">
        <v>1862</v>
      </c>
      <c r="AE255" s="177" t="s">
        <v>1729</v>
      </c>
      <c r="AF255" s="177">
        <v>1</v>
      </c>
      <c r="AG255" s="177">
        <v>20126</v>
      </c>
      <c r="AH255" s="177" t="s">
        <v>121</v>
      </c>
      <c r="AI255" s="177" t="b">
        <v>1</v>
      </c>
      <c r="AJ255" s="180">
        <v>44536</v>
      </c>
      <c r="AK255" s="177" t="s">
        <v>122</v>
      </c>
      <c r="AL255" s="177">
        <v>2022</v>
      </c>
      <c r="AM255" s="177" t="s">
        <v>109</v>
      </c>
      <c r="AN255" s="179" t="b">
        <v>0</v>
      </c>
      <c r="AO255" s="177" t="s">
        <v>109</v>
      </c>
      <c r="AP255" s="177" t="s">
        <v>109</v>
      </c>
      <c r="AQ255" s="177" t="s">
        <v>109</v>
      </c>
      <c r="AR255" s="177" t="s">
        <v>984</v>
      </c>
      <c r="AS255" s="177" t="s">
        <v>123</v>
      </c>
      <c r="AT255" s="180" t="s">
        <v>109</v>
      </c>
      <c r="AU255" s="177" t="s">
        <v>124</v>
      </c>
      <c r="AV255" s="177" t="s">
        <v>109</v>
      </c>
      <c r="AW255" s="177" t="s">
        <v>195</v>
      </c>
      <c r="AX255" s="177" t="s">
        <v>109</v>
      </c>
      <c r="AY255" s="177" t="s">
        <v>135</v>
      </c>
      <c r="AZ255" s="177" t="s">
        <v>109</v>
      </c>
      <c r="BA255" s="177" t="s">
        <v>125</v>
      </c>
      <c r="BB255" s="177" t="s">
        <v>109</v>
      </c>
      <c r="BC255" s="177" t="s">
        <v>126</v>
      </c>
      <c r="BD255" s="177" t="s">
        <v>109</v>
      </c>
      <c r="BE255" s="181" t="s">
        <v>1863</v>
      </c>
      <c r="BF255" s="180" t="s">
        <v>137</v>
      </c>
      <c r="BG255" s="180" t="s">
        <v>1864</v>
      </c>
      <c r="BH255" s="177" t="s">
        <v>521</v>
      </c>
      <c r="BI255" s="177" t="s">
        <v>109</v>
      </c>
      <c r="BJ255" s="177" t="b">
        <v>1</v>
      </c>
      <c r="BK255" s="233">
        <v>361.30333999999999</v>
      </c>
      <c r="BL255" s="234" t="s">
        <v>128</v>
      </c>
      <c r="BM255" s="236">
        <v>1086.06258</v>
      </c>
      <c r="BN255" s="236">
        <v>0</v>
      </c>
      <c r="BO255" s="236">
        <v>0</v>
      </c>
      <c r="BP255" s="236">
        <v>350.83791000000002</v>
      </c>
      <c r="BQ255" s="236">
        <v>512.58596</v>
      </c>
      <c r="BR255" s="236">
        <v>142.15451999999999</v>
      </c>
      <c r="BS255" s="236">
        <v>80.484189999999998</v>
      </c>
      <c r="BT255" s="236">
        <v>0</v>
      </c>
      <c r="BU255" s="236">
        <v>0</v>
      </c>
      <c r="BV255" s="236">
        <v>0</v>
      </c>
      <c r="BW255" s="236">
        <v>0</v>
      </c>
      <c r="BX255" s="236">
        <v>0</v>
      </c>
      <c r="BY255" s="234">
        <v>0</v>
      </c>
      <c r="BZ255" s="236" t="s">
        <v>109</v>
      </c>
      <c r="CA255" s="236" t="s">
        <v>109</v>
      </c>
      <c r="CB255" s="236" t="s">
        <v>196</v>
      </c>
      <c r="CC255" s="236">
        <v>0</v>
      </c>
      <c r="CD255" s="236">
        <v>0</v>
      </c>
      <c r="CE255" s="236">
        <v>0</v>
      </c>
      <c r="CF255" s="236">
        <v>0</v>
      </c>
      <c r="CG255" s="236">
        <v>1005.57839</v>
      </c>
      <c r="CH255" s="236">
        <v>80.484189999999998</v>
      </c>
      <c r="CI255" s="236">
        <v>0</v>
      </c>
      <c r="CJ255" s="237">
        <v>0</v>
      </c>
      <c r="CK255" s="237">
        <v>0</v>
      </c>
      <c r="CL255" s="177" t="s">
        <v>128</v>
      </c>
      <c r="CM255" s="155" t="s">
        <v>109</v>
      </c>
      <c r="CN255" s="229">
        <v>0</v>
      </c>
      <c r="CO255" s="229">
        <v>1</v>
      </c>
      <c r="CP255" t="s">
        <v>155</v>
      </c>
      <c r="CR255" s="248"/>
    </row>
    <row r="256" spans="1:96" ht="14.4" x14ac:dyDescent="0.3">
      <c r="A256">
        <v>253</v>
      </c>
      <c r="B256" s="173" t="s">
        <v>1865</v>
      </c>
      <c r="C256" s="259"/>
      <c r="D256" s="260"/>
      <c r="E256" t="s">
        <v>749</v>
      </c>
      <c r="F256" t="s">
        <v>1866</v>
      </c>
      <c r="G256" s="177" t="s">
        <v>688</v>
      </c>
      <c r="H256" s="177" t="s">
        <v>146</v>
      </c>
      <c r="I256" s="177" t="s">
        <v>109</v>
      </c>
      <c r="J256" s="177" t="s">
        <v>109</v>
      </c>
      <c r="K256" s="177" t="s">
        <v>1728</v>
      </c>
      <c r="L256" s="177" t="s">
        <v>251</v>
      </c>
      <c r="M256" s="177" t="s">
        <v>109</v>
      </c>
      <c r="N256" s="177" t="s">
        <v>109</v>
      </c>
      <c r="O256" s="180">
        <v>45698</v>
      </c>
      <c r="P256" s="177" t="s">
        <v>109</v>
      </c>
      <c r="Q256" s="177" t="s">
        <v>109</v>
      </c>
      <c r="R256" s="177" t="s">
        <v>109</v>
      </c>
      <c r="S256" s="177" t="s">
        <v>109</v>
      </c>
      <c r="T256" s="177" t="s">
        <v>109</v>
      </c>
      <c r="U256" s="177" t="s">
        <v>117</v>
      </c>
      <c r="V256" s="177" t="b">
        <v>0</v>
      </c>
      <c r="W256" s="177" t="s">
        <v>109</v>
      </c>
      <c r="X256" s="261"/>
      <c r="Y256" s="177">
        <v>0.1</v>
      </c>
      <c r="Z256" s="177" t="s">
        <v>118</v>
      </c>
      <c r="AA256" s="177" t="s">
        <v>215</v>
      </c>
      <c r="AB256" s="177" t="s">
        <v>109</v>
      </c>
      <c r="AC256" s="177">
        <v>1.1000000000000001</v>
      </c>
      <c r="AD256" s="177" t="s">
        <v>1867</v>
      </c>
      <c r="AE256" s="177" t="s">
        <v>1729</v>
      </c>
      <c r="AF256" s="177">
        <v>1</v>
      </c>
      <c r="AG256" s="177">
        <v>20126</v>
      </c>
      <c r="AH256" s="177" t="s">
        <v>121</v>
      </c>
      <c r="AI256" s="177" t="b">
        <v>1</v>
      </c>
      <c r="AJ256" s="180">
        <v>43530</v>
      </c>
      <c r="AK256" s="177" t="s">
        <v>122</v>
      </c>
      <c r="AL256" s="177">
        <v>2020</v>
      </c>
      <c r="AM256" s="177" t="s">
        <v>109</v>
      </c>
      <c r="AN256" s="179" t="b">
        <v>0</v>
      </c>
      <c r="AO256" s="177" t="s">
        <v>109</v>
      </c>
      <c r="AP256" s="177" t="s">
        <v>109</v>
      </c>
      <c r="AQ256" s="177" t="s">
        <v>109</v>
      </c>
      <c r="AR256" s="177" t="s">
        <v>984</v>
      </c>
      <c r="AS256" s="177" t="s">
        <v>123</v>
      </c>
      <c r="AT256" s="180" t="s">
        <v>109</v>
      </c>
      <c r="AU256" s="177" t="s">
        <v>124</v>
      </c>
      <c r="AV256" s="177" t="s">
        <v>109</v>
      </c>
      <c r="AW256" s="177" t="s">
        <v>195</v>
      </c>
      <c r="AX256" s="177" t="s">
        <v>109</v>
      </c>
      <c r="AY256" s="177" t="s">
        <v>135</v>
      </c>
      <c r="AZ256" s="177" t="s">
        <v>109</v>
      </c>
      <c r="BA256" s="177" t="s">
        <v>125</v>
      </c>
      <c r="BB256" s="177" t="s">
        <v>109</v>
      </c>
      <c r="BC256" s="177" t="s">
        <v>126</v>
      </c>
      <c r="BD256" s="177" t="s">
        <v>109</v>
      </c>
      <c r="BE256" s="181" t="s">
        <v>1868</v>
      </c>
      <c r="BF256" s="180" t="s">
        <v>127</v>
      </c>
      <c r="BG256" s="180" t="s">
        <v>1869</v>
      </c>
      <c r="BH256" s="177" t="s">
        <v>699</v>
      </c>
      <c r="BI256" s="177" t="s">
        <v>534</v>
      </c>
      <c r="BJ256" s="177" t="b">
        <v>1</v>
      </c>
      <c r="BK256" s="233">
        <v>80</v>
      </c>
      <c r="BL256" s="234" t="s">
        <v>128</v>
      </c>
      <c r="BM256" s="236">
        <v>1204.8701100000001</v>
      </c>
      <c r="BN256" s="236">
        <v>207.13919000000001</v>
      </c>
      <c r="BO256" s="236">
        <v>142.0736</v>
      </c>
      <c r="BP256" s="236">
        <v>289.77069999999998</v>
      </c>
      <c r="BQ256" s="236">
        <v>101.32289</v>
      </c>
      <c r="BR256" s="236">
        <v>351.37693000000002</v>
      </c>
      <c r="BS256" s="236">
        <v>113.18680000000001</v>
      </c>
      <c r="BT256" s="236">
        <v>0</v>
      </c>
      <c r="BU256" s="236">
        <v>0</v>
      </c>
      <c r="BV256" s="236">
        <v>0</v>
      </c>
      <c r="BW256" s="236">
        <v>0</v>
      </c>
      <c r="BX256" s="236">
        <v>0</v>
      </c>
      <c r="BY256" s="234">
        <v>0</v>
      </c>
      <c r="BZ256" s="236" t="s">
        <v>109</v>
      </c>
      <c r="CA256" s="236" t="s">
        <v>109</v>
      </c>
      <c r="CB256" s="236" t="s">
        <v>196</v>
      </c>
      <c r="CC256" s="236">
        <v>0</v>
      </c>
      <c r="CD256" s="236">
        <v>0</v>
      </c>
      <c r="CE256" s="236">
        <v>0</v>
      </c>
      <c r="CF256" s="236">
        <v>0</v>
      </c>
      <c r="CG256" s="236">
        <v>1091.6833099999999</v>
      </c>
      <c r="CH256" s="236">
        <v>113.18680000000001</v>
      </c>
      <c r="CI256" s="236">
        <v>0</v>
      </c>
      <c r="CJ256" s="237">
        <v>0</v>
      </c>
      <c r="CK256" s="237">
        <v>0</v>
      </c>
      <c r="CL256" s="177" t="s">
        <v>128</v>
      </c>
      <c r="CM256" s="155" t="s">
        <v>109</v>
      </c>
      <c r="CN256" s="229">
        <v>0</v>
      </c>
      <c r="CO256" s="229">
        <v>1</v>
      </c>
      <c r="CP256" t="s">
        <v>155</v>
      </c>
      <c r="CR256" s="248"/>
    </row>
    <row r="257" spans="1:96" ht="14.4" x14ac:dyDescent="0.3">
      <c r="A257">
        <v>254</v>
      </c>
      <c r="B257" s="173" t="s">
        <v>1870</v>
      </c>
      <c r="C257" s="259"/>
      <c r="D257" s="260"/>
      <c r="E257" t="s">
        <v>1871</v>
      </c>
      <c r="F257" t="s">
        <v>1727</v>
      </c>
      <c r="G257" s="177" t="s">
        <v>503</v>
      </c>
      <c r="H257" s="177" t="s">
        <v>146</v>
      </c>
      <c r="I257" s="177" t="s">
        <v>109</v>
      </c>
      <c r="J257" s="177" t="s">
        <v>109</v>
      </c>
      <c r="K257" s="177" t="s">
        <v>1728</v>
      </c>
      <c r="L257" s="177" t="s">
        <v>251</v>
      </c>
      <c r="M257" s="177" t="s">
        <v>109</v>
      </c>
      <c r="N257" s="177" t="s">
        <v>109</v>
      </c>
      <c r="O257" s="180">
        <v>45690</v>
      </c>
      <c r="P257" s="177" t="s">
        <v>109</v>
      </c>
      <c r="Q257" s="177" t="s">
        <v>109</v>
      </c>
      <c r="R257" s="177" t="s">
        <v>109</v>
      </c>
      <c r="S257" s="177" t="s">
        <v>109</v>
      </c>
      <c r="T257" s="177" t="s">
        <v>109</v>
      </c>
      <c r="U257" s="177" t="s">
        <v>117</v>
      </c>
      <c r="V257" s="177" t="b">
        <v>0</v>
      </c>
      <c r="W257" s="177" t="s">
        <v>109</v>
      </c>
      <c r="X257" s="261"/>
      <c r="Y257" s="177">
        <v>0.1</v>
      </c>
      <c r="Z257" s="177" t="s">
        <v>118</v>
      </c>
      <c r="AA257" s="177" t="s">
        <v>1771</v>
      </c>
      <c r="AB257" s="177" t="s">
        <v>109</v>
      </c>
      <c r="AC257" s="177">
        <v>1.1000000000000001</v>
      </c>
      <c r="AD257" s="177" t="s">
        <v>1872</v>
      </c>
      <c r="AE257" s="177" t="s">
        <v>1729</v>
      </c>
      <c r="AF257" s="177">
        <v>1</v>
      </c>
      <c r="AG257" s="177">
        <v>20126</v>
      </c>
      <c r="AH257" s="177" t="s">
        <v>121</v>
      </c>
      <c r="AI257" s="177" t="b">
        <v>1</v>
      </c>
      <c r="AJ257" s="180">
        <v>43170</v>
      </c>
      <c r="AK257" s="177" t="s">
        <v>122</v>
      </c>
      <c r="AL257" s="177">
        <v>2019</v>
      </c>
      <c r="AM257" s="177" t="s">
        <v>109</v>
      </c>
      <c r="AN257" s="179" t="b">
        <v>0</v>
      </c>
      <c r="AO257" s="177" t="s">
        <v>109</v>
      </c>
      <c r="AP257" s="177" t="s">
        <v>109</v>
      </c>
      <c r="AQ257" s="177" t="s">
        <v>109</v>
      </c>
      <c r="AR257" s="177" t="s">
        <v>984</v>
      </c>
      <c r="AS257" s="177" t="s">
        <v>123</v>
      </c>
      <c r="AT257" s="180" t="s">
        <v>109</v>
      </c>
      <c r="AU257" s="177" t="s">
        <v>124</v>
      </c>
      <c r="AV257" s="177" t="s">
        <v>109</v>
      </c>
      <c r="AW257" s="177" t="s">
        <v>195</v>
      </c>
      <c r="AX257" s="177" t="s">
        <v>109</v>
      </c>
      <c r="AY257" s="177" t="s">
        <v>135</v>
      </c>
      <c r="AZ257" s="177" t="s">
        <v>109</v>
      </c>
      <c r="BA257" s="177" t="s">
        <v>125</v>
      </c>
      <c r="BB257" s="177" t="s">
        <v>109</v>
      </c>
      <c r="BC257" s="177" t="s">
        <v>126</v>
      </c>
      <c r="BD257" s="177" t="s">
        <v>109</v>
      </c>
      <c r="BE257" s="181" t="s">
        <v>1873</v>
      </c>
      <c r="BF257" s="180" t="s">
        <v>152</v>
      </c>
      <c r="BG257" s="180" t="s">
        <v>1874</v>
      </c>
      <c r="BH257" s="177" t="s">
        <v>699</v>
      </c>
      <c r="BI257" s="177" t="s">
        <v>326</v>
      </c>
      <c r="BJ257" s="177" t="b">
        <v>1</v>
      </c>
      <c r="BK257" s="233">
        <v>9.9990000000000006</v>
      </c>
      <c r="BL257" s="234" t="s">
        <v>128</v>
      </c>
      <c r="BM257" s="236">
        <v>1631.29964</v>
      </c>
      <c r="BN257" s="236">
        <v>192.59491</v>
      </c>
      <c r="BO257" s="236">
        <v>132.28455</v>
      </c>
      <c r="BP257" s="236">
        <v>216.18087</v>
      </c>
      <c r="BQ257" s="236">
        <v>63.955820000000003</v>
      </c>
      <c r="BR257" s="236">
        <v>757.00995</v>
      </c>
      <c r="BS257" s="236">
        <v>105.29419</v>
      </c>
      <c r="BT257" s="236">
        <v>0</v>
      </c>
      <c r="BU257" s="236">
        <v>0</v>
      </c>
      <c r="BV257" s="236">
        <v>0</v>
      </c>
      <c r="BW257" s="236">
        <v>0</v>
      </c>
      <c r="BX257" s="236">
        <v>0</v>
      </c>
      <c r="BY257" s="234">
        <v>0</v>
      </c>
      <c r="BZ257" s="236" t="s">
        <v>109</v>
      </c>
      <c r="CA257" s="236" t="s">
        <v>109</v>
      </c>
      <c r="CB257" s="236" t="s">
        <v>196</v>
      </c>
      <c r="CC257" s="236">
        <v>0</v>
      </c>
      <c r="CD257" s="236">
        <v>0</v>
      </c>
      <c r="CE257" s="236">
        <v>0</v>
      </c>
      <c r="CF257" s="236">
        <v>0</v>
      </c>
      <c r="CG257" s="236">
        <v>1526.0054500000001</v>
      </c>
      <c r="CH257" s="236">
        <v>105.29419</v>
      </c>
      <c r="CI257" s="236">
        <v>0</v>
      </c>
      <c r="CJ257" s="237">
        <v>0</v>
      </c>
      <c r="CK257" s="177" t="s">
        <v>128</v>
      </c>
      <c r="CL257" s="177" t="s">
        <v>128</v>
      </c>
      <c r="CM257" s="155" t="s">
        <v>109</v>
      </c>
      <c r="CN257" s="229">
        <v>0</v>
      </c>
      <c r="CO257" s="229">
        <v>1</v>
      </c>
      <c r="CP257" t="s">
        <v>155</v>
      </c>
      <c r="CR257" s="248"/>
    </row>
    <row r="258" spans="1:96" ht="14.4" x14ac:dyDescent="0.3">
      <c r="A258">
        <v>255</v>
      </c>
      <c r="B258" s="173" t="s">
        <v>1875</v>
      </c>
      <c r="C258" s="259"/>
      <c r="D258" s="260"/>
      <c r="E258" t="s">
        <v>1253</v>
      </c>
      <c r="F258" t="s">
        <v>1876</v>
      </c>
      <c r="G258" s="177" t="s">
        <v>688</v>
      </c>
      <c r="H258" s="177" t="s">
        <v>146</v>
      </c>
      <c r="I258" s="177" t="s">
        <v>109</v>
      </c>
      <c r="J258" s="177" t="s">
        <v>109</v>
      </c>
      <c r="K258" s="177" t="s">
        <v>1728</v>
      </c>
      <c r="L258" s="177" t="s">
        <v>251</v>
      </c>
      <c r="M258" s="177" t="s">
        <v>109</v>
      </c>
      <c r="N258" s="177" t="s">
        <v>109</v>
      </c>
      <c r="O258" s="180">
        <v>45708</v>
      </c>
      <c r="P258" s="177" t="s">
        <v>109</v>
      </c>
      <c r="Q258" s="177" t="s">
        <v>109</v>
      </c>
      <c r="R258" s="177" t="s">
        <v>109</v>
      </c>
      <c r="S258" s="177" t="s">
        <v>109</v>
      </c>
      <c r="T258" s="177" t="s">
        <v>109</v>
      </c>
      <c r="U258" s="177" t="s">
        <v>117</v>
      </c>
      <c r="V258" s="177" t="b">
        <v>0</v>
      </c>
      <c r="W258" s="177" t="s">
        <v>109</v>
      </c>
      <c r="X258" s="261"/>
      <c r="Y258" s="177">
        <v>0.1</v>
      </c>
      <c r="Z258" s="177" t="s">
        <v>118</v>
      </c>
      <c r="AA258" s="177" t="s">
        <v>215</v>
      </c>
      <c r="AB258" s="177" t="s">
        <v>109</v>
      </c>
      <c r="AC258" s="177">
        <v>1.1000000000000001</v>
      </c>
      <c r="AD258" s="177" t="s">
        <v>1877</v>
      </c>
      <c r="AE258" s="177" t="s">
        <v>1729</v>
      </c>
      <c r="AF258" s="177">
        <v>1</v>
      </c>
      <c r="AG258" s="177">
        <v>20126</v>
      </c>
      <c r="AH258" s="177" t="s">
        <v>121</v>
      </c>
      <c r="AI258" s="177" t="b">
        <v>1</v>
      </c>
      <c r="AJ258" s="180">
        <v>43735</v>
      </c>
      <c r="AK258" s="177" t="s">
        <v>122</v>
      </c>
      <c r="AL258" s="177">
        <v>2020</v>
      </c>
      <c r="AM258" s="177" t="s">
        <v>109</v>
      </c>
      <c r="AN258" s="179" t="b">
        <v>0</v>
      </c>
      <c r="AO258" s="177" t="s">
        <v>109</v>
      </c>
      <c r="AP258" s="177" t="s">
        <v>109</v>
      </c>
      <c r="AQ258" s="177" t="s">
        <v>109</v>
      </c>
      <c r="AR258" s="177" t="s">
        <v>984</v>
      </c>
      <c r="AS258" s="177" t="s">
        <v>123</v>
      </c>
      <c r="AT258" s="180" t="s">
        <v>109</v>
      </c>
      <c r="AU258" s="177" t="s">
        <v>124</v>
      </c>
      <c r="AV258" s="177" t="s">
        <v>109</v>
      </c>
      <c r="AW258" s="177" t="s">
        <v>195</v>
      </c>
      <c r="AX258" s="177" t="s">
        <v>109</v>
      </c>
      <c r="AY258" s="177" t="s">
        <v>135</v>
      </c>
      <c r="AZ258" s="177" t="s">
        <v>109</v>
      </c>
      <c r="BA258" s="177" t="s">
        <v>125</v>
      </c>
      <c r="BB258" s="177" t="s">
        <v>109</v>
      </c>
      <c r="BC258" s="177" t="s">
        <v>126</v>
      </c>
      <c r="BD258" s="177" t="s">
        <v>109</v>
      </c>
      <c r="BE258" s="181" t="s">
        <v>1878</v>
      </c>
      <c r="BF258" s="180" t="s">
        <v>1068</v>
      </c>
      <c r="BG258" s="180" t="s">
        <v>1874</v>
      </c>
      <c r="BH258" s="177" t="s">
        <v>699</v>
      </c>
      <c r="BI258" s="177" t="s">
        <v>109</v>
      </c>
      <c r="BJ258" s="177" t="b">
        <v>1</v>
      </c>
      <c r="BK258" s="233">
        <v>999.99900000000002</v>
      </c>
      <c r="BL258" s="234" t="s">
        <v>128</v>
      </c>
      <c r="BM258" s="236">
        <v>1055.87941</v>
      </c>
      <c r="BN258" s="236">
        <v>443.21107000000001</v>
      </c>
      <c r="BO258" s="236">
        <v>427.10279000000003</v>
      </c>
      <c r="BP258" s="236">
        <v>45.627479999999998</v>
      </c>
      <c r="BQ258" s="236">
        <v>30.977530000000002</v>
      </c>
      <c r="BR258" s="236">
        <v>85.404939999999996</v>
      </c>
      <c r="BS258" s="236">
        <v>23.555599999999998</v>
      </c>
      <c r="BT258" s="236">
        <v>0</v>
      </c>
      <c r="BU258" s="236">
        <v>0</v>
      </c>
      <c r="BV258" s="236">
        <v>0</v>
      </c>
      <c r="BW258" s="236">
        <v>0</v>
      </c>
      <c r="BX258" s="236">
        <v>0</v>
      </c>
      <c r="BY258" s="234">
        <v>0</v>
      </c>
      <c r="BZ258" s="236" t="s">
        <v>109</v>
      </c>
      <c r="CA258" s="236" t="s">
        <v>109</v>
      </c>
      <c r="CB258" s="236" t="s">
        <v>842</v>
      </c>
      <c r="CC258" s="236">
        <v>0</v>
      </c>
      <c r="CD258" s="236">
        <v>870.31385999999998</v>
      </c>
      <c r="CE258" s="236">
        <v>45.627479999999998</v>
      </c>
      <c r="CF258" s="236">
        <v>30.977530000000002</v>
      </c>
      <c r="CG258" s="236">
        <v>85.404939999999996</v>
      </c>
      <c r="CH258" s="236">
        <v>23.555599999999998</v>
      </c>
      <c r="CI258" s="236">
        <v>0</v>
      </c>
      <c r="CJ258" s="237">
        <v>0</v>
      </c>
      <c r="CK258" s="177" t="s">
        <v>128</v>
      </c>
      <c r="CL258" s="177" t="s">
        <v>128</v>
      </c>
      <c r="CM258" s="155" t="s">
        <v>109</v>
      </c>
      <c r="CN258" s="229">
        <v>0</v>
      </c>
      <c r="CO258" s="229">
        <v>1</v>
      </c>
      <c r="CP258" t="s">
        <v>155</v>
      </c>
      <c r="CR258" s="248"/>
    </row>
    <row r="259" spans="1:96" ht="14.4" x14ac:dyDescent="0.3">
      <c r="A259">
        <v>256</v>
      </c>
      <c r="B259" s="173" t="s">
        <v>1879</v>
      </c>
      <c r="C259" s="259"/>
      <c r="D259" s="260"/>
      <c r="E259" t="s">
        <v>119</v>
      </c>
      <c r="F259" t="s">
        <v>1880</v>
      </c>
      <c r="G259" s="177" t="s">
        <v>688</v>
      </c>
      <c r="H259" s="177" t="s">
        <v>146</v>
      </c>
      <c r="I259" s="177" t="s">
        <v>109</v>
      </c>
      <c r="J259" s="177" t="s">
        <v>109</v>
      </c>
      <c r="K259" s="177" t="s">
        <v>1728</v>
      </c>
      <c r="L259" s="177" t="s">
        <v>251</v>
      </c>
      <c r="M259" s="177" t="s">
        <v>109</v>
      </c>
      <c r="N259" s="177" t="s">
        <v>109</v>
      </c>
      <c r="O259" s="180" t="s">
        <v>109</v>
      </c>
      <c r="P259" s="177" t="s">
        <v>109</v>
      </c>
      <c r="Q259" s="177" t="s">
        <v>109</v>
      </c>
      <c r="R259" s="177" t="s">
        <v>109</v>
      </c>
      <c r="S259" s="177" t="s">
        <v>109</v>
      </c>
      <c r="T259" s="177" t="s">
        <v>1671</v>
      </c>
      <c r="U259" s="177" t="s">
        <v>117</v>
      </c>
      <c r="V259" s="177" t="b">
        <v>0</v>
      </c>
      <c r="W259" s="177" t="s">
        <v>224</v>
      </c>
      <c r="X259" s="261"/>
      <c r="Y259" s="177" t="s">
        <v>118</v>
      </c>
      <c r="Z259" s="177" t="s">
        <v>109</v>
      </c>
      <c r="AA259" s="177" t="s">
        <v>119</v>
      </c>
      <c r="AB259" s="177" t="s">
        <v>109</v>
      </c>
      <c r="AC259" s="177">
        <v>1.1000000000000001</v>
      </c>
      <c r="AD259" s="177" t="s">
        <v>119</v>
      </c>
      <c r="AE259" s="177" t="s">
        <v>1847</v>
      </c>
      <c r="AF259" s="177">
        <v>366</v>
      </c>
      <c r="AG259" s="177">
        <v>20127</v>
      </c>
      <c r="AH259" s="177" t="s">
        <v>121</v>
      </c>
      <c r="AI259" s="177" t="b">
        <v>1</v>
      </c>
      <c r="AJ259" s="180">
        <v>45637</v>
      </c>
      <c r="AK259" s="177" t="s">
        <v>122</v>
      </c>
      <c r="AL259" s="177" t="s">
        <v>109</v>
      </c>
      <c r="AM259" s="177" t="s">
        <v>109</v>
      </c>
      <c r="AN259" s="177" t="b">
        <v>0</v>
      </c>
      <c r="AO259" s="177" t="s">
        <v>109</v>
      </c>
      <c r="AP259" s="177" t="s">
        <v>109</v>
      </c>
      <c r="AQ259" s="177" t="s">
        <v>109</v>
      </c>
      <c r="AR259" s="177" t="b">
        <v>0</v>
      </c>
      <c r="AS259" s="177" t="s">
        <v>123</v>
      </c>
      <c r="AT259" s="180" t="s">
        <v>123</v>
      </c>
      <c r="AU259" s="177" t="s">
        <v>124</v>
      </c>
      <c r="AV259" s="177" t="s">
        <v>109</v>
      </c>
      <c r="AW259" s="177" t="s">
        <v>226</v>
      </c>
      <c r="AX259" s="177" t="s">
        <v>118</v>
      </c>
      <c r="AY259" s="177" t="s">
        <v>135</v>
      </c>
      <c r="AZ259" s="177" t="s">
        <v>109</v>
      </c>
      <c r="BA259" s="177" t="s">
        <v>125</v>
      </c>
      <c r="BB259" s="177" t="s">
        <v>109</v>
      </c>
      <c r="BC259" s="177" t="s">
        <v>126</v>
      </c>
      <c r="BD259" s="177" t="s">
        <v>109</v>
      </c>
      <c r="BE259" s="180" t="s">
        <v>109</v>
      </c>
      <c r="BF259" s="180" t="s">
        <v>127</v>
      </c>
      <c r="BG259" s="180" t="s">
        <v>1881</v>
      </c>
      <c r="BH259" s="177" t="s">
        <v>109</v>
      </c>
      <c r="BI259" s="177" t="s">
        <v>109</v>
      </c>
      <c r="BJ259" s="177" t="b">
        <v>1</v>
      </c>
      <c r="BK259" s="233" t="s">
        <v>118</v>
      </c>
      <c r="BL259" s="234" t="s">
        <v>128</v>
      </c>
      <c r="BM259" s="233">
        <v>0</v>
      </c>
      <c r="BN259" s="235">
        <f>13975.63665-SUM(BN260:BN264)</f>
        <v>13363.284390000001</v>
      </c>
      <c r="BO259" s="235">
        <f>13158.9776995-SUM(BO260:BO264)</f>
        <v>10834.1700495</v>
      </c>
      <c r="BP259" s="235">
        <f>14062.5951315-SUM(BP260:BP264)</f>
        <v>13370.091421499999</v>
      </c>
      <c r="BQ259" s="235">
        <f>18149.2410046-SUM(BQ260:BQ264)</f>
        <v>15424.2899846</v>
      </c>
      <c r="BR259" s="235">
        <f>11373.417008-SUM(BR260:BR264)</f>
        <v>10592.905268</v>
      </c>
      <c r="BS259" s="235">
        <f>2179.65384-SUM(BS260:BS264)</f>
        <v>2104.62158</v>
      </c>
      <c r="BT259" s="235">
        <f>10189.6687198-SUM(BT260:BT264)</f>
        <v>10189.6687198</v>
      </c>
      <c r="BU259" s="235">
        <f>12629.7029642-SUM(BU260:BU264)</f>
        <v>12629.7029642</v>
      </c>
      <c r="BV259" s="235">
        <f>14128.3447132-SUM(BV260:BV264)</f>
        <v>14128.3447132</v>
      </c>
      <c r="BW259" s="235">
        <f>14999.6286886-SUM(BW260:BW264)</f>
        <v>14999.6286886</v>
      </c>
      <c r="BX259" s="235">
        <f>15965.3826357-SUM(BX260:BX264)</f>
        <v>15965.3826357</v>
      </c>
      <c r="BY259" s="234">
        <v>4760.8711599999997</v>
      </c>
      <c r="BZ259" s="236" t="s">
        <v>109</v>
      </c>
      <c r="CA259" s="236" t="s">
        <v>109</v>
      </c>
      <c r="CB259" s="236" t="s">
        <v>129</v>
      </c>
      <c r="CC259" s="235">
        <f>12993.84976-SUM(CC260:CC264)</f>
        <v>12714.754639999999</v>
      </c>
      <c r="CD259" s="235">
        <f>11084.65039-SUM(CD260:CD264)</f>
        <v>10686.105930000002</v>
      </c>
      <c r="CE259" s="235">
        <f>12672.20507-SUM(CE260:CE264)</f>
        <v>11193.456899999999</v>
      </c>
      <c r="CF259" s="235">
        <f>21243.1754978-SUM(CF260:CF264)</f>
        <v>16820.1499578</v>
      </c>
      <c r="CG259" s="235">
        <f>12022.9235337-SUM(CG260:CG264)</f>
        <v>11242.411793699999</v>
      </c>
      <c r="CH259" s="235">
        <f>811.4073-SUM(CH260:CH264)</f>
        <v>736.37504000000001</v>
      </c>
      <c r="CI259" s="235">
        <f>5700.5118338-SUM(CI260:CI264)</f>
        <v>5700.5118338000002</v>
      </c>
      <c r="CJ259" s="237">
        <v>0</v>
      </c>
      <c r="CK259" s="177" t="s">
        <v>128</v>
      </c>
      <c r="CL259" s="177">
        <v>3.3</v>
      </c>
      <c r="CM259" s="155" t="s">
        <v>109</v>
      </c>
      <c r="CN259" s="229">
        <v>0.13550000000000001</v>
      </c>
      <c r="CO259" s="229">
        <v>0.86450000000000005</v>
      </c>
      <c r="CP259" t="s">
        <v>155</v>
      </c>
      <c r="CR259" s="248"/>
    </row>
    <row r="260" spans="1:96" ht="14.4" x14ac:dyDescent="0.3">
      <c r="A260">
        <v>257</v>
      </c>
      <c r="B260" s="173" t="s">
        <v>1882</v>
      </c>
      <c r="C260" s="259"/>
      <c r="D260" s="260"/>
      <c r="E260" t="s">
        <v>191</v>
      </c>
      <c r="F260" t="s">
        <v>1845</v>
      </c>
      <c r="G260" s="177" t="s">
        <v>688</v>
      </c>
      <c r="H260" s="177" t="s">
        <v>146</v>
      </c>
      <c r="I260" s="177" t="s">
        <v>109</v>
      </c>
      <c r="J260" s="177" t="s">
        <v>109</v>
      </c>
      <c r="K260" s="177" t="s">
        <v>1728</v>
      </c>
      <c r="L260" s="177" t="s">
        <v>251</v>
      </c>
      <c r="M260" s="177" t="s">
        <v>109</v>
      </c>
      <c r="N260" s="177" t="s">
        <v>109</v>
      </c>
      <c r="O260" s="180">
        <v>45486</v>
      </c>
      <c r="P260" s="177" t="s">
        <v>109</v>
      </c>
      <c r="Q260" s="177" t="s">
        <v>109</v>
      </c>
      <c r="R260" s="177" t="s">
        <v>109</v>
      </c>
      <c r="S260" s="177" t="s">
        <v>109</v>
      </c>
      <c r="T260" s="177" t="s">
        <v>982</v>
      </c>
      <c r="U260" s="177" t="s">
        <v>1883</v>
      </c>
      <c r="V260" s="177" t="b">
        <v>0</v>
      </c>
      <c r="W260" s="177" t="s">
        <v>109</v>
      </c>
      <c r="X260" s="261"/>
      <c r="Y260" s="177" t="s">
        <v>109</v>
      </c>
      <c r="Z260" s="177" t="s">
        <v>109</v>
      </c>
      <c r="AA260" s="177" t="s">
        <v>1884</v>
      </c>
      <c r="AB260" s="177" t="s">
        <v>109</v>
      </c>
      <c r="AC260" s="177">
        <v>1.1000000000000001</v>
      </c>
      <c r="AD260" s="177" t="s">
        <v>1885</v>
      </c>
      <c r="AE260" s="177" t="s">
        <v>1847</v>
      </c>
      <c r="AF260" s="177">
        <v>1</v>
      </c>
      <c r="AG260" s="177">
        <v>20127</v>
      </c>
      <c r="AH260" s="177" t="s">
        <v>121</v>
      </c>
      <c r="AI260" s="177" t="b">
        <v>1</v>
      </c>
      <c r="AJ260" s="180">
        <v>44170</v>
      </c>
      <c r="AK260" s="177" t="s">
        <v>122</v>
      </c>
      <c r="AL260" s="177" t="s">
        <v>109</v>
      </c>
      <c r="AM260" s="177" t="s">
        <v>109</v>
      </c>
      <c r="AN260" s="177" t="b">
        <v>0</v>
      </c>
      <c r="AO260" s="177" t="s">
        <v>109</v>
      </c>
      <c r="AP260" s="177" t="s">
        <v>109</v>
      </c>
      <c r="AQ260" s="177" t="s">
        <v>109</v>
      </c>
      <c r="AR260" s="177" t="b">
        <v>0</v>
      </c>
      <c r="AS260" s="177" t="s">
        <v>123</v>
      </c>
      <c r="AT260" s="180" t="s">
        <v>123</v>
      </c>
      <c r="AU260" s="177" t="s">
        <v>124</v>
      </c>
      <c r="AV260" s="177" t="s">
        <v>109</v>
      </c>
      <c r="AW260" s="177" t="s">
        <v>109</v>
      </c>
      <c r="AX260" s="177" t="s">
        <v>109</v>
      </c>
      <c r="AY260" s="177" t="s">
        <v>135</v>
      </c>
      <c r="AZ260" s="177" t="s">
        <v>109</v>
      </c>
      <c r="BA260" s="177" t="s">
        <v>125</v>
      </c>
      <c r="BB260" s="177" t="s">
        <v>109</v>
      </c>
      <c r="BC260" s="177" t="s">
        <v>126</v>
      </c>
      <c r="BD260" s="177" t="s">
        <v>109</v>
      </c>
      <c r="BE260" s="180" t="s">
        <v>1886</v>
      </c>
      <c r="BF260" s="180" t="s">
        <v>1068</v>
      </c>
      <c r="BG260" s="180" t="s">
        <v>1881</v>
      </c>
      <c r="BH260" s="177" t="s">
        <v>109</v>
      </c>
      <c r="BI260" s="177" t="s">
        <v>109</v>
      </c>
      <c r="BJ260" s="177" t="b">
        <v>1</v>
      </c>
      <c r="BK260" s="233">
        <v>2255.5421700000002</v>
      </c>
      <c r="BL260" s="234" t="s">
        <v>128</v>
      </c>
      <c r="BM260" s="233">
        <v>1415.02223</v>
      </c>
      <c r="BN260" s="233">
        <v>0</v>
      </c>
      <c r="BO260" s="233">
        <v>1215.48615</v>
      </c>
      <c r="BP260" s="233">
        <v>87.696820000000002</v>
      </c>
      <c r="BQ260" s="233">
        <v>111.57066</v>
      </c>
      <c r="BR260" s="233">
        <v>0</v>
      </c>
      <c r="BS260" s="233">
        <v>0.26860000000000001</v>
      </c>
      <c r="BT260" s="233">
        <v>0</v>
      </c>
      <c r="BU260" s="233">
        <v>0</v>
      </c>
      <c r="BV260" s="233">
        <v>0</v>
      </c>
      <c r="BW260" s="233">
        <v>0</v>
      </c>
      <c r="BX260" s="233">
        <v>0</v>
      </c>
      <c r="BY260" s="234">
        <v>0</v>
      </c>
      <c r="BZ260" s="236" t="s">
        <v>109</v>
      </c>
      <c r="CA260" s="236" t="s">
        <v>109</v>
      </c>
      <c r="CB260" s="236" t="s">
        <v>1533</v>
      </c>
      <c r="CC260" s="233">
        <v>0</v>
      </c>
      <c r="CD260" s="233">
        <v>0</v>
      </c>
      <c r="CE260" s="233">
        <v>1303.1829700000001</v>
      </c>
      <c r="CF260" s="233">
        <v>111.57066</v>
      </c>
      <c r="CG260" s="233">
        <v>0</v>
      </c>
      <c r="CH260" s="233">
        <v>0.26860000000000001</v>
      </c>
      <c r="CI260" s="233">
        <v>0</v>
      </c>
      <c r="CJ260" s="237">
        <v>0</v>
      </c>
      <c r="CK260" s="177" t="s">
        <v>128</v>
      </c>
      <c r="CL260" s="177" t="s">
        <v>128</v>
      </c>
      <c r="CM260" s="155" t="s">
        <v>109</v>
      </c>
      <c r="CN260" s="229">
        <v>1</v>
      </c>
      <c r="CO260" s="229">
        <v>0</v>
      </c>
      <c r="CP260" t="s">
        <v>1739</v>
      </c>
      <c r="CR260" s="248"/>
    </row>
    <row r="261" spans="1:96" ht="14.4" x14ac:dyDescent="0.3">
      <c r="A261">
        <v>258</v>
      </c>
      <c r="B261" s="173" t="s">
        <v>1887</v>
      </c>
      <c r="C261" s="259"/>
      <c r="D261" s="260"/>
      <c r="E261" t="s">
        <v>1888</v>
      </c>
      <c r="F261" t="s">
        <v>1845</v>
      </c>
      <c r="G261" s="177" t="s">
        <v>688</v>
      </c>
      <c r="H261" s="177" t="s">
        <v>146</v>
      </c>
      <c r="I261" s="177" t="s">
        <v>109</v>
      </c>
      <c r="J261" s="177" t="s">
        <v>109</v>
      </c>
      <c r="K261" s="177" t="s">
        <v>1728</v>
      </c>
      <c r="L261" s="177" t="s">
        <v>251</v>
      </c>
      <c r="M261" s="177" t="s">
        <v>109</v>
      </c>
      <c r="N261" s="177" t="s">
        <v>109</v>
      </c>
      <c r="O261" s="180">
        <v>45690</v>
      </c>
      <c r="P261" s="177" t="s">
        <v>1889</v>
      </c>
      <c r="Q261" s="177" t="s">
        <v>109</v>
      </c>
      <c r="R261" s="177" t="s">
        <v>109</v>
      </c>
      <c r="S261" s="177" t="s">
        <v>109</v>
      </c>
      <c r="T261" s="177" t="s">
        <v>1733</v>
      </c>
      <c r="U261" s="177" t="s">
        <v>117</v>
      </c>
      <c r="V261" s="177" t="b">
        <v>0</v>
      </c>
      <c r="W261" s="177" t="s">
        <v>109</v>
      </c>
      <c r="X261" s="261"/>
      <c r="Y261" s="177" t="s">
        <v>1782</v>
      </c>
      <c r="Z261" s="177" t="s">
        <v>118</v>
      </c>
      <c r="AA261" s="177" t="s">
        <v>1771</v>
      </c>
      <c r="AB261" s="177" t="s">
        <v>109</v>
      </c>
      <c r="AC261" s="177">
        <v>1.1000000000000001</v>
      </c>
      <c r="AD261" s="177" t="s">
        <v>1890</v>
      </c>
      <c r="AE261" s="177" t="s">
        <v>1847</v>
      </c>
      <c r="AF261" s="177">
        <v>1</v>
      </c>
      <c r="AG261" s="177">
        <v>20127</v>
      </c>
      <c r="AH261" s="177" t="s">
        <v>121</v>
      </c>
      <c r="AI261" s="177" t="b">
        <v>1</v>
      </c>
      <c r="AJ261" s="180">
        <v>41892</v>
      </c>
      <c r="AK261" s="177" t="s">
        <v>122</v>
      </c>
      <c r="AL261" s="177" t="s">
        <v>109</v>
      </c>
      <c r="AM261" s="177" t="s">
        <v>109</v>
      </c>
      <c r="AN261" s="177" t="b">
        <v>0</v>
      </c>
      <c r="AO261" s="177" t="s">
        <v>109</v>
      </c>
      <c r="AP261" s="177" t="s">
        <v>109</v>
      </c>
      <c r="AQ261" s="177" t="s">
        <v>109</v>
      </c>
      <c r="AR261" s="177" t="b">
        <v>0</v>
      </c>
      <c r="AS261" s="177" t="s">
        <v>123</v>
      </c>
      <c r="AT261" s="180" t="s">
        <v>123</v>
      </c>
      <c r="AU261" s="177" t="s">
        <v>124</v>
      </c>
      <c r="AV261" s="177" t="s">
        <v>109</v>
      </c>
      <c r="AW261" s="177" t="s">
        <v>109</v>
      </c>
      <c r="AX261" s="177" t="s">
        <v>109</v>
      </c>
      <c r="AY261" s="177" t="s">
        <v>135</v>
      </c>
      <c r="AZ261" s="177" t="s">
        <v>109</v>
      </c>
      <c r="BA261" s="177" t="s">
        <v>125</v>
      </c>
      <c r="BB261" s="177" t="s">
        <v>109</v>
      </c>
      <c r="BC261" s="177" t="s">
        <v>126</v>
      </c>
      <c r="BD261" s="177" t="s">
        <v>109</v>
      </c>
      <c r="BE261" s="180" t="s">
        <v>1891</v>
      </c>
      <c r="BF261" s="180" t="s">
        <v>1767</v>
      </c>
      <c r="BG261" s="180" t="s">
        <v>1751</v>
      </c>
      <c r="BH261" s="177" t="s">
        <v>699</v>
      </c>
      <c r="BI261" s="177" t="s">
        <v>109</v>
      </c>
      <c r="BJ261" s="177" t="b">
        <v>1</v>
      </c>
      <c r="BK261" s="233">
        <v>80</v>
      </c>
      <c r="BL261" s="234" t="s">
        <v>128</v>
      </c>
      <c r="BM261" s="233">
        <v>1238.44307</v>
      </c>
      <c r="BN261" s="233">
        <v>151.34532999999999</v>
      </c>
      <c r="BO261" s="233">
        <v>104.03992</v>
      </c>
      <c r="BP261" s="233">
        <v>460.22183000000001</v>
      </c>
      <c r="BQ261" s="233">
        <v>365.14852000000002</v>
      </c>
      <c r="BR261" s="233">
        <v>63.103619999999999</v>
      </c>
      <c r="BS261" s="233">
        <v>0.24343000000000001</v>
      </c>
      <c r="BT261" s="233">
        <v>0</v>
      </c>
      <c r="BU261" s="233">
        <v>0</v>
      </c>
      <c r="BV261" s="233">
        <v>0</v>
      </c>
      <c r="BW261" s="233">
        <v>0</v>
      </c>
      <c r="BX261" s="233">
        <v>0</v>
      </c>
      <c r="BY261" s="234">
        <v>0</v>
      </c>
      <c r="BZ261" s="236" t="s">
        <v>109</v>
      </c>
      <c r="CA261" s="236" t="s">
        <v>109</v>
      </c>
      <c r="CB261" s="236" t="s">
        <v>154</v>
      </c>
      <c r="CC261" s="233">
        <v>0</v>
      </c>
      <c r="CD261" s="233">
        <v>0</v>
      </c>
      <c r="CE261" s="233">
        <v>0</v>
      </c>
      <c r="CF261" s="233">
        <v>1175.09602</v>
      </c>
      <c r="CG261" s="233">
        <v>63.103619999999999</v>
      </c>
      <c r="CH261" s="233">
        <v>0.24343000000000001</v>
      </c>
      <c r="CI261" s="233">
        <v>0</v>
      </c>
      <c r="CJ261" s="237">
        <v>0</v>
      </c>
      <c r="CK261" s="177" t="s">
        <v>128</v>
      </c>
      <c r="CL261" s="177" t="s">
        <v>128</v>
      </c>
      <c r="CM261" s="155" t="s">
        <v>109</v>
      </c>
      <c r="CN261" s="229">
        <v>0</v>
      </c>
      <c r="CO261" s="229">
        <v>1</v>
      </c>
      <c r="CP261" t="s">
        <v>155</v>
      </c>
      <c r="CR261" s="248"/>
    </row>
    <row r="262" spans="1:96" ht="14.4" x14ac:dyDescent="0.3">
      <c r="A262">
        <v>259</v>
      </c>
      <c r="B262" s="173" t="s">
        <v>1892</v>
      </c>
      <c r="C262" s="259"/>
      <c r="D262" s="260"/>
      <c r="E262" t="s">
        <v>483</v>
      </c>
      <c r="F262" t="s">
        <v>1845</v>
      </c>
      <c r="G262" s="177" t="s">
        <v>688</v>
      </c>
      <c r="H262" s="177" t="s">
        <v>146</v>
      </c>
      <c r="I262" s="177" t="s">
        <v>109</v>
      </c>
      <c r="J262" s="177" t="s">
        <v>109</v>
      </c>
      <c r="K262" s="177" t="s">
        <v>1728</v>
      </c>
      <c r="L262" s="177" t="s">
        <v>251</v>
      </c>
      <c r="M262" s="177" t="s">
        <v>109</v>
      </c>
      <c r="N262" s="177" t="s">
        <v>109</v>
      </c>
      <c r="O262" s="180">
        <v>45687</v>
      </c>
      <c r="P262" s="177" t="s">
        <v>1893</v>
      </c>
      <c r="Q262" s="177" t="s">
        <v>109</v>
      </c>
      <c r="R262" s="177" t="s">
        <v>109</v>
      </c>
      <c r="S262" s="177" t="s">
        <v>109</v>
      </c>
      <c r="T262" s="177" t="s">
        <v>1733</v>
      </c>
      <c r="U262" s="177" t="s">
        <v>117</v>
      </c>
      <c r="V262" s="177" t="b">
        <v>0</v>
      </c>
      <c r="W262" s="177" t="s">
        <v>109</v>
      </c>
      <c r="X262" s="261"/>
      <c r="Y262" s="177" t="s">
        <v>1782</v>
      </c>
      <c r="Z262" s="177" t="s">
        <v>118</v>
      </c>
      <c r="AA262" s="177" t="s">
        <v>215</v>
      </c>
      <c r="AB262" s="177" t="s">
        <v>109</v>
      </c>
      <c r="AC262" s="177">
        <v>1.1000000000000001</v>
      </c>
      <c r="AD262" s="177" t="s">
        <v>1894</v>
      </c>
      <c r="AE262" s="177" t="s">
        <v>1847</v>
      </c>
      <c r="AF262" s="177">
        <v>1</v>
      </c>
      <c r="AG262" s="177">
        <v>20127</v>
      </c>
      <c r="AH262" s="177" t="s">
        <v>121</v>
      </c>
      <c r="AI262" s="177" t="b">
        <v>1</v>
      </c>
      <c r="AJ262" s="180">
        <v>43168</v>
      </c>
      <c r="AK262" s="177" t="s">
        <v>122</v>
      </c>
      <c r="AL262" s="177" t="s">
        <v>109</v>
      </c>
      <c r="AM262" s="177" t="s">
        <v>109</v>
      </c>
      <c r="AN262" s="177" t="b">
        <v>0</v>
      </c>
      <c r="AO262" s="177" t="s">
        <v>109</v>
      </c>
      <c r="AP262" s="177" t="s">
        <v>109</v>
      </c>
      <c r="AQ262" s="177" t="s">
        <v>109</v>
      </c>
      <c r="AR262" s="177" t="b">
        <v>0</v>
      </c>
      <c r="AS262" s="177" t="s">
        <v>123</v>
      </c>
      <c r="AT262" s="180" t="s">
        <v>123</v>
      </c>
      <c r="AU262" s="177" t="s">
        <v>124</v>
      </c>
      <c r="AV262" s="177" t="s">
        <v>109</v>
      </c>
      <c r="AW262" s="177" t="s">
        <v>109</v>
      </c>
      <c r="AX262" s="177" t="s">
        <v>109</v>
      </c>
      <c r="AY262" s="177" t="s">
        <v>135</v>
      </c>
      <c r="AZ262" s="177" t="s">
        <v>109</v>
      </c>
      <c r="BA262" s="177" t="s">
        <v>125</v>
      </c>
      <c r="BB262" s="177" t="s">
        <v>109</v>
      </c>
      <c r="BC262" s="177" t="s">
        <v>126</v>
      </c>
      <c r="BD262" s="177" t="s">
        <v>109</v>
      </c>
      <c r="BE262" s="180" t="s">
        <v>1895</v>
      </c>
      <c r="BF262" s="180" t="s">
        <v>152</v>
      </c>
      <c r="BG262" s="180" t="s">
        <v>1896</v>
      </c>
      <c r="BH262" s="177" t="s">
        <v>699</v>
      </c>
      <c r="BI262" s="177" t="s">
        <v>893</v>
      </c>
      <c r="BJ262" s="177" t="b">
        <v>0</v>
      </c>
      <c r="BK262" s="233">
        <v>9.9990000000000006</v>
      </c>
      <c r="BL262" s="234" t="s">
        <v>128</v>
      </c>
      <c r="BM262" s="233">
        <v>1517.6998000000001</v>
      </c>
      <c r="BN262" s="233">
        <v>167.98053999999999</v>
      </c>
      <c r="BO262" s="233">
        <v>125.28389</v>
      </c>
      <c r="BP262" s="233">
        <v>215.02829</v>
      </c>
      <c r="BQ262" s="233">
        <v>753.08928000000003</v>
      </c>
      <c r="BR262" s="233">
        <v>126.69578</v>
      </c>
      <c r="BS262" s="233">
        <v>0</v>
      </c>
      <c r="BT262" s="233">
        <v>0</v>
      </c>
      <c r="BU262" s="233">
        <v>0</v>
      </c>
      <c r="BV262" s="233">
        <v>0</v>
      </c>
      <c r="BW262" s="233">
        <v>0</v>
      </c>
      <c r="BX262" s="233">
        <v>0</v>
      </c>
      <c r="BY262" s="234">
        <v>0</v>
      </c>
      <c r="BZ262" s="236" t="s">
        <v>109</v>
      </c>
      <c r="CA262" s="236" t="s">
        <v>109</v>
      </c>
      <c r="CB262" s="236" t="s">
        <v>174</v>
      </c>
      <c r="CC262" s="233">
        <v>0</v>
      </c>
      <c r="CD262" s="233">
        <v>0</v>
      </c>
      <c r="CE262" s="233">
        <v>0</v>
      </c>
      <c r="CF262" s="233">
        <v>1391.0040200000001</v>
      </c>
      <c r="CG262" s="233">
        <v>126.69578</v>
      </c>
      <c r="CH262" s="233">
        <v>0</v>
      </c>
      <c r="CI262" s="233">
        <v>0</v>
      </c>
      <c r="CJ262" s="237">
        <v>0</v>
      </c>
      <c r="CK262" s="177" t="s">
        <v>128</v>
      </c>
      <c r="CL262" s="177" t="s">
        <v>128</v>
      </c>
      <c r="CM262" s="155" t="s">
        <v>109</v>
      </c>
      <c r="CN262" s="229">
        <v>0</v>
      </c>
      <c r="CO262" s="229">
        <v>1</v>
      </c>
      <c r="CP262" t="s">
        <v>155</v>
      </c>
      <c r="CR262" s="248"/>
    </row>
    <row r="263" spans="1:96" ht="14.4" x14ac:dyDescent="0.3">
      <c r="A263">
        <v>260</v>
      </c>
      <c r="B263" s="173" t="s">
        <v>1897</v>
      </c>
      <c r="C263" s="259"/>
      <c r="D263" s="260"/>
      <c r="E263" t="s">
        <v>191</v>
      </c>
      <c r="F263" t="s">
        <v>1898</v>
      </c>
      <c r="G263" s="177" t="s">
        <v>688</v>
      </c>
      <c r="H263" s="177" t="s">
        <v>146</v>
      </c>
      <c r="I263" s="177" t="s">
        <v>109</v>
      </c>
      <c r="J263" s="177" t="s">
        <v>109</v>
      </c>
      <c r="K263" s="177" t="s">
        <v>1728</v>
      </c>
      <c r="L263" s="177" t="s">
        <v>251</v>
      </c>
      <c r="M263" s="177" t="s">
        <v>109</v>
      </c>
      <c r="N263" s="177" t="s">
        <v>109</v>
      </c>
      <c r="O263" s="180">
        <v>45662</v>
      </c>
      <c r="P263" s="177" t="s">
        <v>109</v>
      </c>
      <c r="Q263" s="177" t="s">
        <v>109</v>
      </c>
      <c r="R263" s="177" t="s">
        <v>109</v>
      </c>
      <c r="S263" s="177" t="s">
        <v>109</v>
      </c>
      <c r="T263" s="177" t="s">
        <v>404</v>
      </c>
      <c r="U263" s="177" t="s">
        <v>918</v>
      </c>
      <c r="V263" s="177" t="b">
        <v>0</v>
      </c>
      <c r="W263" s="177" t="s">
        <v>109</v>
      </c>
      <c r="X263" s="261"/>
      <c r="Y263" s="177" t="s">
        <v>1899</v>
      </c>
      <c r="Z263" s="177" t="s">
        <v>118</v>
      </c>
      <c r="AA263" s="177" t="s">
        <v>861</v>
      </c>
      <c r="AB263" s="177" t="s">
        <v>109</v>
      </c>
      <c r="AC263" s="177">
        <v>1.1000000000000001</v>
      </c>
      <c r="AD263" s="177" t="s">
        <v>1900</v>
      </c>
      <c r="AE263" s="177" t="s">
        <v>1847</v>
      </c>
      <c r="AF263" s="177">
        <v>1</v>
      </c>
      <c r="AG263" s="177">
        <v>20127</v>
      </c>
      <c r="AH263" s="177" t="s">
        <v>121</v>
      </c>
      <c r="AI263" s="177" t="b">
        <v>1</v>
      </c>
      <c r="AJ263" s="180">
        <v>43633</v>
      </c>
      <c r="AK263" s="177" t="s">
        <v>122</v>
      </c>
      <c r="AL263" s="177" t="s">
        <v>109</v>
      </c>
      <c r="AM263" s="177" t="s">
        <v>109</v>
      </c>
      <c r="AN263" s="177" t="b">
        <v>0</v>
      </c>
      <c r="AO263" s="177" t="s">
        <v>109</v>
      </c>
      <c r="AP263" s="177" t="s">
        <v>109</v>
      </c>
      <c r="AQ263" s="177" t="s">
        <v>109</v>
      </c>
      <c r="AR263" s="177" t="b">
        <v>0</v>
      </c>
      <c r="AS263" s="177" t="s">
        <v>123</v>
      </c>
      <c r="AT263" s="180" t="s">
        <v>123</v>
      </c>
      <c r="AU263" s="177" t="s">
        <v>124</v>
      </c>
      <c r="AV263" s="177" t="s">
        <v>109</v>
      </c>
      <c r="AW263" s="177" t="s">
        <v>109</v>
      </c>
      <c r="AX263" s="177" t="s">
        <v>109</v>
      </c>
      <c r="AY263" s="177" t="s">
        <v>135</v>
      </c>
      <c r="AZ263" s="177" t="s">
        <v>109</v>
      </c>
      <c r="BA263" s="177" t="s">
        <v>125</v>
      </c>
      <c r="BB263" s="177" t="s">
        <v>109</v>
      </c>
      <c r="BC263" s="177" t="s">
        <v>126</v>
      </c>
      <c r="BD263" s="177" t="s">
        <v>109</v>
      </c>
      <c r="BE263" s="180" t="s">
        <v>1901</v>
      </c>
      <c r="BF263" s="180" t="s">
        <v>152</v>
      </c>
      <c r="BG263" s="180" t="s">
        <v>1902</v>
      </c>
      <c r="BH263" s="177" t="s">
        <v>698</v>
      </c>
      <c r="BI263" s="177" t="s">
        <v>109</v>
      </c>
      <c r="BJ263" s="177" t="b">
        <v>1</v>
      </c>
      <c r="BK263" s="233">
        <v>999.99900000000002</v>
      </c>
      <c r="BL263" s="234" t="s">
        <v>128</v>
      </c>
      <c r="BM263" s="233">
        <v>1801.05405</v>
      </c>
      <c r="BN263" s="233">
        <v>13.93127</v>
      </c>
      <c r="BO263" s="233">
        <v>481.45323000000002</v>
      </c>
      <c r="BP263" s="233">
        <v>-246.00843</v>
      </c>
      <c r="BQ263" s="233">
        <v>1041.3942099999999</v>
      </c>
      <c r="BR263" s="233">
        <v>443.8809</v>
      </c>
      <c r="BS263" s="233">
        <v>65.566659999999999</v>
      </c>
      <c r="BT263" s="233">
        <v>0</v>
      </c>
      <c r="BU263" s="233">
        <v>0</v>
      </c>
      <c r="BV263" s="233">
        <v>0</v>
      </c>
      <c r="BW263" s="233">
        <v>0</v>
      </c>
      <c r="BX263" s="233">
        <v>0</v>
      </c>
      <c r="BY263" s="234">
        <v>0</v>
      </c>
      <c r="BZ263" s="236" t="s">
        <v>109</v>
      </c>
      <c r="CA263" s="236" t="s">
        <v>109</v>
      </c>
      <c r="CB263" s="236" t="s">
        <v>154</v>
      </c>
      <c r="CC263" s="233">
        <v>0</v>
      </c>
      <c r="CD263" s="233">
        <v>0</v>
      </c>
      <c r="CE263" s="233">
        <v>0</v>
      </c>
      <c r="CF263" s="233">
        <v>1291.6064899999999</v>
      </c>
      <c r="CG263" s="233">
        <v>443.8809</v>
      </c>
      <c r="CH263" s="233">
        <v>65.566659999999999</v>
      </c>
      <c r="CI263" s="233">
        <v>0</v>
      </c>
      <c r="CJ263" s="237">
        <v>0</v>
      </c>
      <c r="CK263" s="177" t="s">
        <v>128</v>
      </c>
      <c r="CL263" s="177" t="s">
        <v>128</v>
      </c>
      <c r="CM263" s="155" t="s">
        <v>109</v>
      </c>
      <c r="CN263" s="229">
        <v>1</v>
      </c>
      <c r="CO263" s="229">
        <v>0</v>
      </c>
      <c r="CP263" t="s">
        <v>1903</v>
      </c>
      <c r="CR263" s="248"/>
    </row>
    <row r="264" spans="1:96" ht="14.4" x14ac:dyDescent="0.3">
      <c r="A264">
        <v>261</v>
      </c>
      <c r="B264" s="173" t="s">
        <v>1904</v>
      </c>
      <c r="C264" s="259"/>
      <c r="D264" s="260"/>
      <c r="E264" t="s">
        <v>109</v>
      </c>
      <c r="F264" t="s">
        <v>1845</v>
      </c>
      <c r="G264" s="177" t="s">
        <v>688</v>
      </c>
      <c r="H264" s="177" t="s">
        <v>146</v>
      </c>
      <c r="I264" s="177" t="s">
        <v>109</v>
      </c>
      <c r="J264" s="177" t="s">
        <v>109</v>
      </c>
      <c r="K264" s="177" t="s">
        <v>1728</v>
      </c>
      <c r="L264" s="177" t="s">
        <v>251</v>
      </c>
      <c r="M264" s="177" t="s">
        <v>109</v>
      </c>
      <c r="N264" s="177" t="s">
        <v>109</v>
      </c>
      <c r="O264" s="180" t="s">
        <v>109</v>
      </c>
      <c r="P264" s="177" t="s">
        <v>109</v>
      </c>
      <c r="Q264" s="177" t="s">
        <v>109</v>
      </c>
      <c r="R264" s="177" t="s">
        <v>109</v>
      </c>
      <c r="S264" s="177" t="s">
        <v>109</v>
      </c>
      <c r="T264" s="177" t="s">
        <v>1905</v>
      </c>
      <c r="U264" s="177" t="s">
        <v>117</v>
      </c>
      <c r="V264" s="177" t="b">
        <v>0</v>
      </c>
      <c r="W264" s="177" t="s">
        <v>109</v>
      </c>
      <c r="X264" s="261"/>
      <c r="Y264" s="177" t="s">
        <v>109</v>
      </c>
      <c r="Z264" s="177" t="s">
        <v>109</v>
      </c>
      <c r="AA264" s="177" t="s">
        <v>304</v>
      </c>
      <c r="AB264" s="177" t="s">
        <v>109</v>
      </c>
      <c r="AC264" s="177">
        <v>1.1000000000000001</v>
      </c>
      <c r="AD264" s="177" t="s">
        <v>109</v>
      </c>
      <c r="AE264" s="177" t="s">
        <v>1847</v>
      </c>
      <c r="AF264" s="177">
        <v>1</v>
      </c>
      <c r="AG264" s="177">
        <v>20127</v>
      </c>
      <c r="AH264" s="177" t="s">
        <v>121</v>
      </c>
      <c r="AI264" s="177" t="b">
        <v>1</v>
      </c>
      <c r="AJ264" s="180">
        <v>45658</v>
      </c>
      <c r="AK264" s="177" t="s">
        <v>122</v>
      </c>
      <c r="AL264" s="177" t="s">
        <v>109</v>
      </c>
      <c r="AM264" s="177" t="s">
        <v>109</v>
      </c>
      <c r="AN264" s="177" t="b">
        <v>0</v>
      </c>
      <c r="AO264" s="177" t="s">
        <v>109</v>
      </c>
      <c r="AP264" s="177" t="s">
        <v>109</v>
      </c>
      <c r="AQ264" s="177" t="s">
        <v>109</v>
      </c>
      <c r="AR264" s="177" t="b">
        <v>0</v>
      </c>
      <c r="AS264" s="177" t="s">
        <v>123</v>
      </c>
      <c r="AT264" s="180" t="s">
        <v>123</v>
      </c>
      <c r="AU264" s="177" t="s">
        <v>124</v>
      </c>
      <c r="AV264" s="177" t="s">
        <v>109</v>
      </c>
      <c r="AW264" s="177" t="s">
        <v>109</v>
      </c>
      <c r="AX264" s="177" t="s">
        <v>109</v>
      </c>
      <c r="AY264" s="177" t="s">
        <v>135</v>
      </c>
      <c r="AZ264" s="177" t="s">
        <v>109</v>
      </c>
      <c r="BA264" s="177" t="s">
        <v>125</v>
      </c>
      <c r="BB264" s="177" t="s">
        <v>109</v>
      </c>
      <c r="BC264" s="177" t="s">
        <v>126</v>
      </c>
      <c r="BD264" s="177" t="s">
        <v>109</v>
      </c>
      <c r="BE264" s="180" t="s">
        <v>1906</v>
      </c>
      <c r="BF264" s="180" t="s">
        <v>127</v>
      </c>
      <c r="BG264" s="180" t="s">
        <v>1906</v>
      </c>
      <c r="BH264" s="177" t="s">
        <v>109</v>
      </c>
      <c r="BI264" s="177" t="s">
        <v>109</v>
      </c>
      <c r="BJ264" s="177" t="b">
        <v>1</v>
      </c>
      <c r="BK264" s="233" t="s">
        <v>118</v>
      </c>
      <c r="BL264" s="234" t="s">
        <v>128</v>
      </c>
      <c r="BM264" s="233">
        <v>7701.6956700000001</v>
      </c>
      <c r="BN264" s="233">
        <v>279.09512000000001</v>
      </c>
      <c r="BO264" s="233">
        <v>398.54446000000002</v>
      </c>
      <c r="BP264" s="233">
        <v>175.5652</v>
      </c>
      <c r="BQ264" s="233">
        <v>453.74835000000002</v>
      </c>
      <c r="BR264" s="233">
        <v>146.83143999999999</v>
      </c>
      <c r="BS264" s="233">
        <v>8.9535699999999991</v>
      </c>
      <c r="BT264" s="233">
        <v>0</v>
      </c>
      <c r="BU264" s="233">
        <v>0</v>
      </c>
      <c r="BV264" s="233">
        <v>0</v>
      </c>
      <c r="BW264" s="233">
        <v>0</v>
      </c>
      <c r="BX264" s="233">
        <v>0</v>
      </c>
      <c r="BY264" s="234">
        <v>0</v>
      </c>
      <c r="BZ264" s="236" t="s">
        <v>109</v>
      </c>
      <c r="CA264" s="236" t="s">
        <v>109</v>
      </c>
      <c r="CB264" s="236" t="s">
        <v>129</v>
      </c>
      <c r="CC264" s="233">
        <v>279.09512000000001</v>
      </c>
      <c r="CD264" s="233">
        <v>398.54446000000002</v>
      </c>
      <c r="CE264" s="233">
        <v>175.5652</v>
      </c>
      <c r="CF264" s="233">
        <v>453.74835000000002</v>
      </c>
      <c r="CG264" s="233">
        <v>146.83143999999999</v>
      </c>
      <c r="CH264" s="233">
        <v>8.9535699999999991</v>
      </c>
      <c r="CI264" s="233">
        <v>0</v>
      </c>
      <c r="CJ264" s="237">
        <v>0</v>
      </c>
      <c r="CK264" s="177" t="s">
        <v>128</v>
      </c>
      <c r="CL264" s="177" t="s">
        <v>128</v>
      </c>
      <c r="CM264" s="155" t="s">
        <v>109</v>
      </c>
      <c r="CN264" s="229">
        <v>0.13550000000000001</v>
      </c>
      <c r="CO264" s="229">
        <v>0.86450000000000005</v>
      </c>
      <c r="CP264" t="s">
        <v>155</v>
      </c>
      <c r="CR264" s="248"/>
    </row>
    <row r="265" spans="1:96" ht="14.4" x14ac:dyDescent="0.3">
      <c r="A265">
        <v>262</v>
      </c>
      <c r="B265" s="173" t="s">
        <v>1908</v>
      </c>
      <c r="C265" s="259"/>
      <c r="D265" s="260"/>
      <c r="E265" t="s">
        <v>329</v>
      </c>
      <c r="F265" t="s">
        <v>1909</v>
      </c>
      <c r="G265" s="177" t="s">
        <v>688</v>
      </c>
      <c r="H265" s="177" t="s">
        <v>146</v>
      </c>
      <c r="I265" s="177" t="s">
        <v>109</v>
      </c>
      <c r="J265" s="177">
        <v>20133</v>
      </c>
      <c r="K265" s="177" t="s">
        <v>662</v>
      </c>
      <c r="L265" s="177" t="s">
        <v>663</v>
      </c>
      <c r="M265" s="177" t="s">
        <v>109</v>
      </c>
      <c r="N265" s="177" t="s">
        <v>109</v>
      </c>
      <c r="O265" s="180">
        <v>45685</v>
      </c>
      <c r="P265" s="177" t="s">
        <v>109</v>
      </c>
      <c r="Q265" s="177" t="s">
        <v>109</v>
      </c>
      <c r="R265" s="177" t="s">
        <v>109</v>
      </c>
      <c r="S265" s="177" t="s">
        <v>109</v>
      </c>
      <c r="T265" s="177" t="s">
        <v>1910</v>
      </c>
      <c r="U265" s="177" t="s">
        <v>1911</v>
      </c>
      <c r="V265" s="177" t="b">
        <v>0</v>
      </c>
      <c r="W265" s="177" t="s">
        <v>109</v>
      </c>
      <c r="X265" s="261"/>
      <c r="Y265" s="177" t="s">
        <v>1912</v>
      </c>
      <c r="Z265" s="177" t="s">
        <v>118</v>
      </c>
      <c r="AA265" s="177">
        <v>69</v>
      </c>
      <c r="AB265" s="177" t="s">
        <v>109</v>
      </c>
      <c r="AC265" s="177">
        <v>1.2</v>
      </c>
      <c r="AD265" s="177" t="s">
        <v>1913</v>
      </c>
      <c r="AE265" s="177" t="s">
        <v>1914</v>
      </c>
      <c r="AF265" s="177">
        <v>1</v>
      </c>
      <c r="AG265" s="177">
        <v>20133</v>
      </c>
      <c r="AH265" s="177" t="s">
        <v>121</v>
      </c>
      <c r="AI265" s="177" t="b">
        <v>1</v>
      </c>
      <c r="AJ265" s="180">
        <v>44000</v>
      </c>
      <c r="AK265" s="177" t="s">
        <v>122</v>
      </c>
      <c r="AL265" s="177">
        <v>2020</v>
      </c>
      <c r="AM265" s="177" t="s">
        <v>109</v>
      </c>
      <c r="AN265" s="177" t="b">
        <v>0</v>
      </c>
      <c r="AO265" s="177" t="s">
        <v>109</v>
      </c>
      <c r="AP265" s="177" t="s">
        <v>109</v>
      </c>
      <c r="AQ265" s="177" t="s">
        <v>118</v>
      </c>
      <c r="AR265" s="177" t="b">
        <v>0</v>
      </c>
      <c r="AS265" s="177" t="s">
        <v>123</v>
      </c>
      <c r="AT265" s="180" t="s">
        <v>123</v>
      </c>
      <c r="AU265" s="177" t="s">
        <v>124</v>
      </c>
      <c r="AV265" s="177" t="s">
        <v>109</v>
      </c>
      <c r="AW265" s="177" t="s">
        <v>118</v>
      </c>
      <c r="AX265" s="177" t="s">
        <v>118</v>
      </c>
      <c r="AY265" s="177" t="s">
        <v>123</v>
      </c>
      <c r="AZ265" s="177" t="s">
        <v>1915</v>
      </c>
      <c r="BA265" s="177" t="s">
        <v>494</v>
      </c>
      <c r="BB265" s="177">
        <v>2023</v>
      </c>
      <c r="BC265" s="177" t="s">
        <v>425</v>
      </c>
      <c r="BD265" s="177" t="s">
        <v>109</v>
      </c>
      <c r="BE265" s="180" t="s">
        <v>1916</v>
      </c>
      <c r="BF265" s="180" t="s">
        <v>127</v>
      </c>
      <c r="BG265" s="180" t="s">
        <v>1652</v>
      </c>
      <c r="BH265" s="177" t="s">
        <v>893</v>
      </c>
      <c r="BI265" s="177" t="s">
        <v>109</v>
      </c>
      <c r="BJ265" s="177" t="b">
        <v>1</v>
      </c>
      <c r="BK265" s="233">
        <v>1979.963</v>
      </c>
      <c r="BL265" s="234" t="s">
        <v>128</v>
      </c>
      <c r="BM265" s="254">
        <v>10323.933999999999</v>
      </c>
      <c r="BN265" s="254">
        <v>37.645830000000004</v>
      </c>
      <c r="BO265" s="254">
        <v>112.18256</v>
      </c>
      <c r="BP265" s="254">
        <v>110.48485000000001</v>
      </c>
      <c r="BQ265" s="254">
        <v>125.69465</v>
      </c>
      <c r="BR265" s="254">
        <v>162.54568</v>
      </c>
      <c r="BS265" s="254">
        <v>21.478349999999999</v>
      </c>
      <c r="BT265" s="254">
        <v>184.29456250000001</v>
      </c>
      <c r="BU265" s="254">
        <v>9569.6070567000006</v>
      </c>
      <c r="BV265" s="254">
        <v>0</v>
      </c>
      <c r="BW265" s="254">
        <v>0</v>
      </c>
      <c r="BX265" s="254">
        <v>0</v>
      </c>
      <c r="BY265" s="255">
        <v>570.03200000000004</v>
      </c>
      <c r="BZ265" s="236" t="s">
        <v>109</v>
      </c>
      <c r="CA265" s="236" t="s">
        <v>109</v>
      </c>
      <c r="CB265" s="247">
        <v>2025</v>
      </c>
      <c r="CC265" s="254">
        <v>0</v>
      </c>
      <c r="CD265" s="254">
        <v>0</v>
      </c>
      <c r="CE265" s="254">
        <v>0</v>
      </c>
      <c r="CF265" s="254">
        <v>0</v>
      </c>
      <c r="CG265" s="254">
        <v>0</v>
      </c>
      <c r="CH265" s="254">
        <v>0</v>
      </c>
      <c r="CI265" s="254">
        <v>754.3264825</v>
      </c>
      <c r="CJ265" s="237">
        <v>0</v>
      </c>
      <c r="CK265" s="177" t="s">
        <v>128</v>
      </c>
      <c r="CL265" s="177">
        <v>28.1</v>
      </c>
      <c r="CM265" s="155" t="s">
        <v>109</v>
      </c>
      <c r="CN265" s="229">
        <v>0</v>
      </c>
      <c r="CO265" s="229">
        <v>1</v>
      </c>
      <c r="CP265" t="s">
        <v>155</v>
      </c>
      <c r="CR265" s="248"/>
    </row>
    <row r="266" spans="1:96" ht="14.4" x14ac:dyDescent="0.3">
      <c r="A266">
        <v>263</v>
      </c>
      <c r="B266" s="173" t="s">
        <v>1917</v>
      </c>
      <c r="C266" s="259"/>
      <c r="D266" s="260"/>
      <c r="E266" t="s">
        <v>1918</v>
      </c>
      <c r="F266" t="s">
        <v>1919</v>
      </c>
      <c r="G266" s="177" t="s">
        <v>240</v>
      </c>
      <c r="H266" s="177" t="s">
        <v>146</v>
      </c>
      <c r="I266" s="177" t="s">
        <v>109</v>
      </c>
      <c r="J266" s="177" t="s">
        <v>109</v>
      </c>
      <c r="K266" s="177" t="s">
        <v>662</v>
      </c>
      <c r="L266" s="177" t="s">
        <v>663</v>
      </c>
      <c r="M266" s="177" t="s">
        <v>109</v>
      </c>
      <c r="N266" s="177" t="s">
        <v>109</v>
      </c>
      <c r="O266" s="180">
        <v>45690</v>
      </c>
      <c r="P266" s="177" t="s">
        <v>1920</v>
      </c>
      <c r="Q266" s="177" t="s">
        <v>109</v>
      </c>
      <c r="R266" s="177" t="s">
        <v>109</v>
      </c>
      <c r="S266" s="177" t="s">
        <v>109</v>
      </c>
      <c r="T266" s="177" t="s">
        <v>404</v>
      </c>
      <c r="U266" s="177" t="s">
        <v>918</v>
      </c>
      <c r="V266" s="177" t="b">
        <v>0</v>
      </c>
      <c r="W266" s="177" t="s">
        <v>109</v>
      </c>
      <c r="X266" s="261"/>
      <c r="Y266" s="177">
        <v>2.1</v>
      </c>
      <c r="Z266" s="177" t="s">
        <v>118</v>
      </c>
      <c r="AA266" s="177">
        <v>69</v>
      </c>
      <c r="AB266" s="177" t="s">
        <v>109</v>
      </c>
      <c r="AC266" s="177">
        <v>1.2</v>
      </c>
      <c r="AD266" s="177" t="s">
        <v>1921</v>
      </c>
      <c r="AE266" s="177" t="s">
        <v>1922</v>
      </c>
      <c r="AF266" s="177">
        <v>1</v>
      </c>
      <c r="AG266" s="177">
        <v>20134</v>
      </c>
      <c r="AH266" s="177" t="s">
        <v>121</v>
      </c>
      <c r="AI266" s="177" t="b">
        <v>1</v>
      </c>
      <c r="AJ266" s="180">
        <v>45503</v>
      </c>
      <c r="AK266" s="177" t="s">
        <v>122</v>
      </c>
      <c r="AL266" s="177">
        <v>2020</v>
      </c>
      <c r="AM266" s="177" t="s">
        <v>109</v>
      </c>
      <c r="AN266" s="177" t="b">
        <v>0</v>
      </c>
      <c r="AO266" s="177" t="s">
        <v>109</v>
      </c>
      <c r="AP266" s="177" t="s">
        <v>109</v>
      </c>
      <c r="AQ266" s="177" t="s">
        <v>118</v>
      </c>
      <c r="AR266" s="177" t="b">
        <v>0</v>
      </c>
      <c r="AS266" s="177" t="s">
        <v>123</v>
      </c>
      <c r="AT266" s="180" t="s">
        <v>123</v>
      </c>
      <c r="AU266" s="177" t="s">
        <v>124</v>
      </c>
      <c r="AV266" s="177" t="s">
        <v>109</v>
      </c>
      <c r="AW266" s="177" t="s">
        <v>118</v>
      </c>
      <c r="AX266" s="177" t="s">
        <v>118</v>
      </c>
      <c r="AY266" s="177" t="s">
        <v>135</v>
      </c>
      <c r="AZ266" s="177" t="s">
        <v>109</v>
      </c>
      <c r="BA266" s="177" t="s">
        <v>494</v>
      </c>
      <c r="BB266" s="177">
        <v>2023</v>
      </c>
      <c r="BC266" s="177" t="s">
        <v>699</v>
      </c>
      <c r="BD266" s="177" t="s">
        <v>109</v>
      </c>
      <c r="BE266" s="180" t="s">
        <v>1923</v>
      </c>
      <c r="BF266" s="180" t="s">
        <v>1652</v>
      </c>
      <c r="BG266" s="180" t="s">
        <v>1924</v>
      </c>
      <c r="BH266" s="177" t="s">
        <v>699</v>
      </c>
      <c r="BI266" s="177" t="s">
        <v>698</v>
      </c>
      <c r="BJ266" s="177" t="b">
        <v>1</v>
      </c>
      <c r="BK266" s="233">
        <v>1979.963</v>
      </c>
      <c r="BL266" s="234" t="s">
        <v>128</v>
      </c>
      <c r="BM266" s="254">
        <v>15056.822</v>
      </c>
      <c r="BN266" s="254">
        <v>70.016580000000005</v>
      </c>
      <c r="BO266" s="254">
        <v>110.01295</v>
      </c>
      <c r="BP266" s="254">
        <v>423.34568000000002</v>
      </c>
      <c r="BQ266" s="254">
        <v>504.26776000000001</v>
      </c>
      <c r="BR266" s="254">
        <v>3145.6158799999998</v>
      </c>
      <c r="BS266" s="254">
        <v>151.84023000000002</v>
      </c>
      <c r="BT266" s="254">
        <v>575.25927490000004</v>
      </c>
      <c r="BU266" s="254">
        <v>869.43905210000003</v>
      </c>
      <c r="BV266" s="254">
        <v>9207.0250248000011</v>
      </c>
      <c r="BW266" s="254">
        <v>0</v>
      </c>
      <c r="BX266" s="254">
        <v>0</v>
      </c>
      <c r="BY266" s="255">
        <v>4405.098</v>
      </c>
      <c r="BZ266" s="236" t="s">
        <v>109</v>
      </c>
      <c r="CA266" s="236" t="s">
        <v>109</v>
      </c>
      <c r="CB266" s="246">
        <v>2025</v>
      </c>
      <c r="CC266" s="254">
        <v>0</v>
      </c>
      <c r="CD266" s="254">
        <v>0</v>
      </c>
      <c r="CE266" s="254">
        <v>0</v>
      </c>
      <c r="CF266" s="254">
        <v>0</v>
      </c>
      <c r="CG266" s="254">
        <v>0</v>
      </c>
      <c r="CH266" s="254">
        <v>0</v>
      </c>
      <c r="CI266" s="254">
        <v>4423.9774630000002</v>
      </c>
      <c r="CJ266" s="237">
        <v>0</v>
      </c>
      <c r="CK266" s="177" t="s">
        <v>128</v>
      </c>
      <c r="CL266" s="177">
        <v>3</v>
      </c>
      <c r="CM266" s="155" t="s">
        <v>109</v>
      </c>
      <c r="CN266" s="229">
        <v>0</v>
      </c>
      <c r="CO266" s="229">
        <v>1</v>
      </c>
      <c r="CP266" t="s">
        <v>1925</v>
      </c>
      <c r="CR266" s="248"/>
    </row>
    <row r="267" spans="1:96" ht="72" x14ac:dyDescent="0.3">
      <c r="A267">
        <v>264</v>
      </c>
      <c r="B267" s="173" t="s">
        <v>1926</v>
      </c>
      <c r="C267" s="259"/>
      <c r="D267" s="260"/>
      <c r="E267" t="s">
        <v>674</v>
      </c>
      <c r="F267" t="s">
        <v>1927</v>
      </c>
      <c r="G267" s="177" t="s">
        <v>688</v>
      </c>
      <c r="H267" s="177" t="s">
        <v>113</v>
      </c>
      <c r="I267" s="177" t="s">
        <v>109</v>
      </c>
      <c r="J267" s="177" t="s">
        <v>109</v>
      </c>
      <c r="K267" s="177" t="s">
        <v>662</v>
      </c>
      <c r="L267" s="177" t="s">
        <v>663</v>
      </c>
      <c r="M267" s="177" t="s">
        <v>109</v>
      </c>
      <c r="N267" s="177" t="s">
        <v>109</v>
      </c>
      <c r="O267" s="180">
        <v>45670</v>
      </c>
      <c r="P267" s="177" t="s">
        <v>1928</v>
      </c>
      <c r="Q267" s="177" t="s">
        <v>109</v>
      </c>
      <c r="R267" s="177" t="s">
        <v>109</v>
      </c>
      <c r="S267" s="177" t="s">
        <v>109</v>
      </c>
      <c r="T267" s="177" t="s">
        <v>404</v>
      </c>
      <c r="U267" s="177" t="s">
        <v>117</v>
      </c>
      <c r="V267" s="177" t="b">
        <v>0</v>
      </c>
      <c r="W267" s="177" t="s">
        <v>109</v>
      </c>
      <c r="X267" s="261"/>
      <c r="Y267" s="177">
        <v>1.6826369999999999</v>
      </c>
      <c r="Z267" s="177" t="s">
        <v>118</v>
      </c>
      <c r="AA267" s="177">
        <v>69</v>
      </c>
      <c r="AB267" s="177" t="s">
        <v>109</v>
      </c>
      <c r="AC267" s="177">
        <v>1.2</v>
      </c>
      <c r="AD267" s="177" t="s">
        <v>1929</v>
      </c>
      <c r="AE267" s="177" t="s">
        <v>1930</v>
      </c>
      <c r="AF267" s="177">
        <v>1</v>
      </c>
      <c r="AG267" s="177">
        <v>20135</v>
      </c>
      <c r="AH267" s="177" t="s">
        <v>121</v>
      </c>
      <c r="AI267" s="177" t="b">
        <v>1</v>
      </c>
      <c r="AJ267" s="180">
        <v>45453</v>
      </c>
      <c r="AK267" s="177" t="s">
        <v>122</v>
      </c>
      <c r="AL267" s="177">
        <v>2020</v>
      </c>
      <c r="AM267" s="177" t="s">
        <v>109</v>
      </c>
      <c r="AN267" s="177" t="b">
        <v>0</v>
      </c>
      <c r="AO267" s="177" t="s">
        <v>109</v>
      </c>
      <c r="AP267" s="177" t="s">
        <v>109</v>
      </c>
      <c r="AQ267" s="177" t="s">
        <v>109</v>
      </c>
      <c r="AR267" s="177" t="b">
        <v>0</v>
      </c>
      <c r="AS267" s="177" t="s">
        <v>490</v>
      </c>
      <c r="AT267" s="180">
        <v>43378</v>
      </c>
      <c r="AU267" s="177" t="s">
        <v>491</v>
      </c>
      <c r="AV267" s="177" t="s">
        <v>109</v>
      </c>
      <c r="AW267" s="177" t="s">
        <v>226</v>
      </c>
      <c r="AX267" s="177" t="s">
        <v>118</v>
      </c>
      <c r="AY267" s="177" t="s">
        <v>135</v>
      </c>
      <c r="AZ267" s="177" t="s">
        <v>109</v>
      </c>
      <c r="BA267" s="177" t="s">
        <v>218</v>
      </c>
      <c r="BB267" s="177" t="s">
        <v>109</v>
      </c>
      <c r="BC267" s="177" t="s">
        <v>126</v>
      </c>
      <c r="BD267" s="177" t="s">
        <v>109</v>
      </c>
      <c r="BE267" s="180" t="s">
        <v>1931</v>
      </c>
      <c r="BF267" s="180" t="s">
        <v>127</v>
      </c>
      <c r="BG267" s="180" t="s">
        <v>1932</v>
      </c>
      <c r="BH267" s="177" t="s">
        <v>109</v>
      </c>
      <c r="BI267" s="177" t="s">
        <v>109</v>
      </c>
      <c r="BJ267" s="177" t="b">
        <v>1</v>
      </c>
      <c r="BK267" s="233">
        <v>1486.2090000000001</v>
      </c>
      <c r="BL267" s="234" t="s">
        <v>128</v>
      </c>
      <c r="BM267" s="233">
        <v>7598.5718209470297</v>
      </c>
      <c r="BN267" s="233">
        <v>36.167909999999999</v>
      </c>
      <c r="BO267" s="233">
        <v>189.41326000000001</v>
      </c>
      <c r="BP267" s="233">
        <v>612.15863999999999</v>
      </c>
      <c r="BQ267" s="233">
        <v>829.94818999999995</v>
      </c>
      <c r="BR267" s="233">
        <v>5446.6727899999996</v>
      </c>
      <c r="BS267" s="233">
        <v>41.453139999999998</v>
      </c>
      <c r="BT267" s="233">
        <v>442.75789090000001</v>
      </c>
      <c r="BU267" s="233">
        <v>0</v>
      </c>
      <c r="BV267" s="233">
        <v>0</v>
      </c>
      <c r="BW267" s="233">
        <v>0</v>
      </c>
      <c r="BX267" s="233">
        <v>0</v>
      </c>
      <c r="BY267" s="234">
        <v>442.75789094703032</v>
      </c>
      <c r="BZ267" s="236" t="s">
        <v>109</v>
      </c>
      <c r="CA267" s="236" t="s">
        <v>109</v>
      </c>
      <c r="CB267" s="236" t="s">
        <v>196</v>
      </c>
      <c r="CC267" s="233">
        <v>0</v>
      </c>
      <c r="CD267" s="233">
        <v>0</v>
      </c>
      <c r="CE267" s="233">
        <v>0</v>
      </c>
      <c r="CF267" s="233">
        <v>0</v>
      </c>
      <c r="CG267" s="233">
        <v>7114.3607899999997</v>
      </c>
      <c r="CH267" s="233">
        <v>41.453139999999998</v>
      </c>
      <c r="CI267" s="233">
        <v>442.75789090000001</v>
      </c>
      <c r="CJ267" s="237">
        <v>0</v>
      </c>
      <c r="CK267" s="177" t="s">
        <v>128</v>
      </c>
      <c r="CL267" s="177">
        <v>43.6</v>
      </c>
      <c r="CM267" s="155" t="s">
        <v>109</v>
      </c>
      <c r="CN267" s="229">
        <v>0</v>
      </c>
      <c r="CO267" s="229">
        <v>1</v>
      </c>
      <c r="CP267" s="138" t="s">
        <v>1933</v>
      </c>
      <c r="CR267" s="248"/>
    </row>
    <row r="268" spans="1:96" ht="14.4" x14ac:dyDescent="0.3">
      <c r="A268">
        <v>265</v>
      </c>
      <c r="B268" s="173" t="s">
        <v>1934</v>
      </c>
      <c r="C268" s="259"/>
      <c r="D268" s="260"/>
      <c r="E268" t="s">
        <v>1935</v>
      </c>
      <c r="F268" t="s">
        <v>1936</v>
      </c>
      <c r="G268" s="177" t="s">
        <v>688</v>
      </c>
      <c r="H268" s="177" t="s">
        <v>146</v>
      </c>
      <c r="I268" s="177" t="s">
        <v>275</v>
      </c>
      <c r="J268" s="177" t="s">
        <v>109</v>
      </c>
      <c r="K268" s="177" t="s">
        <v>662</v>
      </c>
      <c r="L268" s="177" t="s">
        <v>663</v>
      </c>
      <c r="M268" s="177" t="s">
        <v>109</v>
      </c>
      <c r="N268" s="177" t="s">
        <v>109</v>
      </c>
      <c r="O268" s="180">
        <v>45696</v>
      </c>
      <c r="P268" s="177" t="s">
        <v>109</v>
      </c>
      <c r="Q268" s="177" t="s">
        <v>109</v>
      </c>
      <c r="R268" s="177" t="s">
        <v>109</v>
      </c>
      <c r="S268" s="177" t="s">
        <v>109</v>
      </c>
      <c r="T268" s="177" t="s">
        <v>404</v>
      </c>
      <c r="U268" s="177" t="s">
        <v>690</v>
      </c>
      <c r="V268" s="177" t="b">
        <v>0</v>
      </c>
      <c r="W268" s="177" t="s">
        <v>1937</v>
      </c>
      <c r="X268" s="261"/>
      <c r="Y268" s="177" t="s">
        <v>1938</v>
      </c>
      <c r="Z268" s="177" t="s">
        <v>118</v>
      </c>
      <c r="AA268" s="177">
        <v>138</v>
      </c>
      <c r="AB268" s="177" t="s">
        <v>109</v>
      </c>
      <c r="AC268" s="177">
        <v>1.2</v>
      </c>
      <c r="AD268" s="177" t="s">
        <v>1939</v>
      </c>
      <c r="AE268" s="177" t="s">
        <v>1940</v>
      </c>
      <c r="AF268" s="177">
        <v>1</v>
      </c>
      <c r="AG268" s="177">
        <v>20136</v>
      </c>
      <c r="AH268" s="177" t="s">
        <v>121</v>
      </c>
      <c r="AI268" s="177" t="b">
        <v>1</v>
      </c>
      <c r="AJ268" s="180">
        <v>45498</v>
      </c>
      <c r="AK268" s="177" t="s">
        <v>122</v>
      </c>
      <c r="AL268" s="177">
        <v>2020</v>
      </c>
      <c r="AM268" s="177" t="s">
        <v>109</v>
      </c>
      <c r="AN268" s="177" t="b">
        <v>0</v>
      </c>
      <c r="AO268" s="177" t="s">
        <v>109</v>
      </c>
      <c r="AP268" s="177" t="s">
        <v>109</v>
      </c>
      <c r="AQ268" s="177" t="s">
        <v>118</v>
      </c>
      <c r="AR268" s="177" t="s">
        <v>531</v>
      </c>
      <c r="AS268" s="177" t="s">
        <v>109</v>
      </c>
      <c r="AT268" s="180" t="s">
        <v>118</v>
      </c>
      <c r="AU268" s="177" t="s">
        <v>124</v>
      </c>
      <c r="AV268" s="177" t="s">
        <v>109</v>
      </c>
      <c r="AW268" s="177" t="s">
        <v>118</v>
      </c>
      <c r="AX268" s="177" t="s">
        <v>118</v>
      </c>
      <c r="AY268" s="177" t="s">
        <v>135</v>
      </c>
      <c r="AZ268" s="177" t="s">
        <v>109</v>
      </c>
      <c r="BA268" s="177" t="s">
        <v>125</v>
      </c>
      <c r="BB268" s="177" t="s">
        <v>109</v>
      </c>
      <c r="BC268" s="177" t="s">
        <v>126</v>
      </c>
      <c r="BD268" s="177" t="s">
        <v>109</v>
      </c>
      <c r="BE268" s="180" t="s">
        <v>1941</v>
      </c>
      <c r="BF268" s="180" t="s">
        <v>1942</v>
      </c>
      <c r="BG268" s="180" t="s">
        <v>1943</v>
      </c>
      <c r="BH268" s="177" t="s">
        <v>109</v>
      </c>
      <c r="BI268" s="177" t="s">
        <v>109</v>
      </c>
      <c r="BJ268" s="250" t="b">
        <v>1</v>
      </c>
      <c r="BK268" s="233">
        <v>3628.6550000000002</v>
      </c>
      <c r="BL268" s="234" t="s">
        <v>128</v>
      </c>
      <c r="BM268" s="254">
        <v>10256.026</v>
      </c>
      <c r="BN268" s="254">
        <v>49.766359999999999</v>
      </c>
      <c r="BO268" s="254">
        <v>229.51169000000002</v>
      </c>
      <c r="BP268" s="254">
        <v>297.04739000000001</v>
      </c>
      <c r="BQ268" s="254">
        <v>477.11878000000002</v>
      </c>
      <c r="BR268" s="254">
        <v>8433.2258199999997</v>
      </c>
      <c r="BS268" s="254">
        <v>-180.66729000000004</v>
      </c>
      <c r="BT268" s="254">
        <v>950.02334280000002</v>
      </c>
      <c r="BU268" s="254">
        <v>0</v>
      </c>
      <c r="BV268" s="254">
        <v>0</v>
      </c>
      <c r="BW268" s="254">
        <v>0</v>
      </c>
      <c r="BX268" s="254">
        <v>0</v>
      </c>
      <c r="BY268" s="255">
        <v>0</v>
      </c>
      <c r="BZ268" s="236" t="s">
        <v>109</v>
      </c>
      <c r="CA268" s="236" t="s">
        <v>109</v>
      </c>
      <c r="CB268" s="256" t="s">
        <v>196</v>
      </c>
      <c r="CC268" s="257">
        <v>0</v>
      </c>
      <c r="CD268" s="257">
        <v>0</v>
      </c>
      <c r="CE268" s="257">
        <v>0</v>
      </c>
      <c r="CF268" s="257">
        <v>0</v>
      </c>
      <c r="CG268" s="257">
        <v>9486.6700399999991</v>
      </c>
      <c r="CH268" s="257">
        <v>-180.66729000000004</v>
      </c>
      <c r="CI268" s="257">
        <v>950.02334280000002</v>
      </c>
      <c r="CJ268" s="237">
        <v>0</v>
      </c>
      <c r="CK268" s="177" t="s">
        <v>128</v>
      </c>
      <c r="CL268" s="177">
        <v>8.1</v>
      </c>
      <c r="CM268" s="155" t="s">
        <v>109</v>
      </c>
      <c r="CN268" s="229">
        <v>0</v>
      </c>
      <c r="CO268" s="229">
        <v>1</v>
      </c>
      <c r="CP268" t="s">
        <v>337</v>
      </c>
      <c r="CR268" s="248"/>
    </row>
    <row r="269" spans="1:96" ht="14.4" x14ac:dyDescent="0.3">
      <c r="A269">
        <v>266</v>
      </c>
      <c r="B269" s="173" t="s">
        <v>1944</v>
      </c>
      <c r="C269" s="259"/>
      <c r="D269" s="260"/>
      <c r="E269" t="s">
        <v>1945</v>
      </c>
      <c r="F269" t="s">
        <v>1946</v>
      </c>
      <c r="G269" s="177" t="s">
        <v>1947</v>
      </c>
      <c r="H269" s="177" t="s">
        <v>113</v>
      </c>
      <c r="I269" s="177" t="s">
        <v>109</v>
      </c>
      <c r="J269" s="177" t="s">
        <v>109</v>
      </c>
      <c r="K269" s="177" t="s">
        <v>114</v>
      </c>
      <c r="L269" s="177" t="s">
        <v>1948</v>
      </c>
      <c r="M269" s="177" t="s">
        <v>109</v>
      </c>
      <c r="N269" s="177" t="s">
        <v>109</v>
      </c>
      <c r="O269" s="180">
        <v>45670</v>
      </c>
      <c r="P269" s="177" t="s">
        <v>109</v>
      </c>
      <c r="Q269" s="177" t="s">
        <v>109</v>
      </c>
      <c r="R269" s="177" t="s">
        <v>109</v>
      </c>
      <c r="S269" s="177" t="s">
        <v>109</v>
      </c>
      <c r="T269" s="177" t="s">
        <v>404</v>
      </c>
      <c r="U269" s="177" t="s">
        <v>117</v>
      </c>
      <c r="V269" s="177" t="b">
        <v>0</v>
      </c>
      <c r="W269" s="177" t="s">
        <v>109</v>
      </c>
      <c r="X269" s="261"/>
      <c r="Y269" s="177">
        <v>34.828406000000001</v>
      </c>
      <c r="Z269" s="177" t="s">
        <v>118</v>
      </c>
      <c r="AA269" s="177">
        <v>230</v>
      </c>
      <c r="AB269" s="177" t="s">
        <v>109</v>
      </c>
      <c r="AC269" s="177">
        <v>4.0999999999999996</v>
      </c>
      <c r="AD269" s="177" t="s">
        <v>1949</v>
      </c>
      <c r="AE269" s="177" t="s">
        <v>1950</v>
      </c>
      <c r="AF269" s="177">
        <v>1</v>
      </c>
      <c r="AG269" s="177">
        <v>20138</v>
      </c>
      <c r="AH269" s="177" t="s">
        <v>121</v>
      </c>
      <c r="AI269" s="177" t="b">
        <v>1</v>
      </c>
      <c r="AJ269" s="180">
        <v>44749</v>
      </c>
      <c r="AK269" s="177" t="s">
        <v>122</v>
      </c>
      <c r="AL269" s="177">
        <v>2020</v>
      </c>
      <c r="AM269" s="177" t="s">
        <v>109</v>
      </c>
      <c r="AN269" s="177" t="b">
        <v>0</v>
      </c>
      <c r="AO269" s="177" t="s">
        <v>109</v>
      </c>
      <c r="AP269" s="177" t="s">
        <v>109</v>
      </c>
      <c r="AQ269" s="177" t="s">
        <v>118</v>
      </c>
      <c r="AR269" s="177" t="b">
        <v>0</v>
      </c>
      <c r="AS269" s="177" t="s">
        <v>123</v>
      </c>
      <c r="AT269" s="180" t="s">
        <v>123</v>
      </c>
      <c r="AU269" s="177" t="s">
        <v>124</v>
      </c>
      <c r="AV269" s="177" t="s">
        <v>109</v>
      </c>
      <c r="AW269" s="177" t="s">
        <v>109</v>
      </c>
      <c r="AX269" s="177" t="s">
        <v>109</v>
      </c>
      <c r="AY269" s="177" t="s">
        <v>135</v>
      </c>
      <c r="AZ269" s="177" t="s">
        <v>109</v>
      </c>
      <c r="BA269" s="177" t="s">
        <v>125</v>
      </c>
      <c r="BB269" s="177" t="s">
        <v>109</v>
      </c>
      <c r="BC269" s="177" t="s">
        <v>126</v>
      </c>
      <c r="BD269" s="177" t="s">
        <v>109</v>
      </c>
      <c r="BE269" s="180" t="s">
        <v>1951</v>
      </c>
      <c r="BF269" s="180" t="s">
        <v>1952</v>
      </c>
      <c r="BG269" s="180" t="s">
        <v>1953</v>
      </c>
      <c r="BH269" s="177" t="s">
        <v>109</v>
      </c>
      <c r="BI269" s="177" t="s">
        <v>109</v>
      </c>
      <c r="BJ269" s="177" t="b">
        <v>1</v>
      </c>
      <c r="BK269" s="233">
        <v>8040.0590000000002</v>
      </c>
      <c r="BL269" s="234" t="s">
        <v>128</v>
      </c>
      <c r="BM269" s="233">
        <v>10631.659562070001</v>
      </c>
      <c r="BN269" s="233">
        <v>13.373613799999999</v>
      </c>
      <c r="BO269" s="233">
        <v>3593.8104650999999</v>
      </c>
      <c r="BP269" s="233">
        <v>6816.3402567000003</v>
      </c>
      <c r="BQ269" s="233">
        <v>81.508350399999998</v>
      </c>
      <c r="BR269" s="233">
        <v>126.464476</v>
      </c>
      <c r="BS269" s="233">
        <v>0.16239999999999999</v>
      </c>
      <c r="BT269" s="233">
        <v>0</v>
      </c>
      <c r="BU269" s="233">
        <v>0</v>
      </c>
      <c r="BV269" s="233">
        <v>0</v>
      </c>
      <c r="BW269" s="233">
        <v>0</v>
      </c>
      <c r="BX269" s="233">
        <v>0</v>
      </c>
      <c r="BY269" s="234">
        <v>0</v>
      </c>
      <c r="BZ269" s="236" t="s">
        <v>109</v>
      </c>
      <c r="CA269" s="236" t="s">
        <v>109</v>
      </c>
      <c r="CB269" s="233" t="s">
        <v>139</v>
      </c>
      <c r="CC269" s="233">
        <v>0</v>
      </c>
      <c r="CD269" s="233">
        <v>0</v>
      </c>
      <c r="CE269" s="233">
        <v>10423.524335599999</v>
      </c>
      <c r="CF269" s="233">
        <v>81.508350399999998</v>
      </c>
      <c r="CG269" s="233">
        <v>126.464476</v>
      </c>
      <c r="CH269" s="233">
        <v>0.16239999999999999</v>
      </c>
      <c r="CI269" s="233">
        <v>0</v>
      </c>
      <c r="CJ269" s="237">
        <v>0</v>
      </c>
      <c r="CK269" s="177" t="s">
        <v>128</v>
      </c>
      <c r="CL269" s="177" t="s">
        <v>128</v>
      </c>
      <c r="CM269" s="155" t="s">
        <v>109</v>
      </c>
      <c r="CN269" s="229">
        <v>1</v>
      </c>
      <c r="CO269" s="229">
        <v>0</v>
      </c>
      <c r="CP269" t="s">
        <v>155</v>
      </c>
      <c r="CR269" s="248"/>
    </row>
    <row r="270" spans="1:96" ht="14.4" x14ac:dyDescent="0.3">
      <c r="A270">
        <v>267</v>
      </c>
      <c r="B270" s="173" t="s">
        <v>1954</v>
      </c>
      <c r="C270" s="259"/>
      <c r="D270" s="260"/>
      <c r="E270" t="s">
        <v>329</v>
      </c>
      <c r="F270" t="s">
        <v>1955</v>
      </c>
      <c r="G270" s="177" t="s">
        <v>688</v>
      </c>
      <c r="H270" s="177" t="s">
        <v>146</v>
      </c>
      <c r="I270" s="177" t="s">
        <v>109</v>
      </c>
      <c r="J270" s="177">
        <v>20139</v>
      </c>
      <c r="K270" s="177" t="s">
        <v>662</v>
      </c>
      <c r="L270" s="177" t="s">
        <v>663</v>
      </c>
      <c r="M270" s="177" t="s">
        <v>109</v>
      </c>
      <c r="N270" s="177" t="s">
        <v>109</v>
      </c>
      <c r="O270" s="180">
        <v>45685</v>
      </c>
      <c r="P270" s="177" t="s">
        <v>109</v>
      </c>
      <c r="Q270" s="177" t="s">
        <v>109</v>
      </c>
      <c r="R270" s="177" t="s">
        <v>109</v>
      </c>
      <c r="S270" s="177" t="s">
        <v>109</v>
      </c>
      <c r="T270" s="177" t="s">
        <v>404</v>
      </c>
      <c r="U270" s="177" t="s">
        <v>1911</v>
      </c>
      <c r="V270" s="177" t="b">
        <v>0</v>
      </c>
      <c r="W270" s="177" t="s">
        <v>487</v>
      </c>
      <c r="X270" s="261"/>
      <c r="Y270" s="177" t="s">
        <v>1956</v>
      </c>
      <c r="Z270" s="177" t="s">
        <v>118</v>
      </c>
      <c r="AA270" s="177">
        <v>69</v>
      </c>
      <c r="AB270" s="177" t="s">
        <v>109</v>
      </c>
      <c r="AC270" s="177">
        <v>1.2</v>
      </c>
      <c r="AD270" s="177" t="s">
        <v>1957</v>
      </c>
      <c r="AE270" s="177" t="s">
        <v>1958</v>
      </c>
      <c r="AF270" s="177">
        <v>1</v>
      </c>
      <c r="AG270" s="177">
        <v>20139</v>
      </c>
      <c r="AH270" s="177" t="s">
        <v>121</v>
      </c>
      <c r="AI270" s="177" t="b">
        <v>1</v>
      </c>
      <c r="AJ270" s="180">
        <v>44000</v>
      </c>
      <c r="AK270" s="177" t="s">
        <v>122</v>
      </c>
      <c r="AL270" s="177">
        <v>2020</v>
      </c>
      <c r="AM270" s="177" t="s">
        <v>109</v>
      </c>
      <c r="AN270" s="177" t="b">
        <v>0</v>
      </c>
      <c r="AO270" s="177" t="s">
        <v>109</v>
      </c>
      <c r="AP270" s="177" t="s">
        <v>109</v>
      </c>
      <c r="AQ270" s="177" t="s">
        <v>118</v>
      </c>
      <c r="AR270" s="177" t="b">
        <v>0</v>
      </c>
      <c r="AS270" s="177" t="s">
        <v>123</v>
      </c>
      <c r="AT270" s="180" t="s">
        <v>123</v>
      </c>
      <c r="AU270" s="177" t="s">
        <v>124</v>
      </c>
      <c r="AV270" s="177" t="s">
        <v>109</v>
      </c>
      <c r="AW270" s="177" t="s">
        <v>109</v>
      </c>
      <c r="AX270" s="177" t="s">
        <v>109</v>
      </c>
      <c r="AY270" s="177" t="s">
        <v>135</v>
      </c>
      <c r="AZ270" s="177" t="s">
        <v>109</v>
      </c>
      <c r="BA270" s="177" t="s">
        <v>494</v>
      </c>
      <c r="BB270" s="177" t="s">
        <v>109</v>
      </c>
      <c r="BC270" s="177" t="s">
        <v>126</v>
      </c>
      <c r="BD270" s="177" t="s">
        <v>109</v>
      </c>
      <c r="BE270" s="180" t="s">
        <v>1959</v>
      </c>
      <c r="BF270" s="180" t="s">
        <v>137</v>
      </c>
      <c r="BG270" s="180" t="s">
        <v>1960</v>
      </c>
      <c r="BH270" s="177" t="s">
        <v>109</v>
      </c>
      <c r="BI270" s="177" t="s">
        <v>109</v>
      </c>
      <c r="BJ270" s="177" t="b">
        <v>1</v>
      </c>
      <c r="BK270" s="233">
        <v>1810.588</v>
      </c>
      <c r="BL270" s="234" t="s">
        <v>128</v>
      </c>
      <c r="BM270" s="254">
        <v>9227.6929999999993</v>
      </c>
      <c r="BN270" s="254">
        <v>13.79135</v>
      </c>
      <c r="BO270" s="254">
        <v>85.268729999999991</v>
      </c>
      <c r="BP270" s="254">
        <v>108.16796000000001</v>
      </c>
      <c r="BQ270" s="254">
        <v>115.83573</v>
      </c>
      <c r="BR270" s="254">
        <v>186.83032999999998</v>
      </c>
      <c r="BS270" s="254">
        <v>18.840160000000001</v>
      </c>
      <c r="BT270" s="254">
        <v>174.12993090000001</v>
      </c>
      <c r="BU270" s="254">
        <v>8524.8286016000002</v>
      </c>
      <c r="BV270" s="254">
        <v>0</v>
      </c>
      <c r="BW270" s="254">
        <v>0</v>
      </c>
      <c r="BX270" s="254">
        <v>0</v>
      </c>
      <c r="BY270" s="255">
        <v>528.73400000000004</v>
      </c>
      <c r="BZ270" s="236" t="s">
        <v>109</v>
      </c>
      <c r="CA270" s="236" t="s">
        <v>109</v>
      </c>
      <c r="CB270" s="247">
        <v>2025</v>
      </c>
      <c r="CC270" s="254">
        <v>0</v>
      </c>
      <c r="CD270" s="254">
        <v>0</v>
      </c>
      <c r="CE270" s="254">
        <v>0</v>
      </c>
      <c r="CF270" s="254">
        <v>0</v>
      </c>
      <c r="CG270" s="254">
        <v>0</v>
      </c>
      <c r="CH270" s="254">
        <v>0</v>
      </c>
      <c r="CI270" s="254">
        <v>702.86419090000004</v>
      </c>
      <c r="CJ270" s="237">
        <v>0</v>
      </c>
      <c r="CK270" s="177" t="s">
        <v>128</v>
      </c>
      <c r="CL270" s="177">
        <v>0.2</v>
      </c>
      <c r="CM270" s="155" t="s">
        <v>109</v>
      </c>
      <c r="CN270" s="229">
        <v>0</v>
      </c>
      <c r="CO270" s="229">
        <v>1</v>
      </c>
      <c r="CP270" t="s">
        <v>155</v>
      </c>
      <c r="CR270" s="248"/>
    </row>
    <row r="271" spans="1:96" ht="14.4" x14ac:dyDescent="0.3">
      <c r="A271">
        <v>268</v>
      </c>
      <c r="B271" s="173" t="s">
        <v>1961</v>
      </c>
      <c r="C271" s="259"/>
      <c r="D271" s="260"/>
      <c r="E271" t="s">
        <v>329</v>
      </c>
      <c r="F271" t="s">
        <v>1962</v>
      </c>
      <c r="G271" s="177" t="s">
        <v>688</v>
      </c>
      <c r="H271" s="177" t="s">
        <v>146</v>
      </c>
      <c r="I271" s="177" t="s">
        <v>109</v>
      </c>
      <c r="J271" s="177" t="s">
        <v>109</v>
      </c>
      <c r="K271" s="177" t="s">
        <v>662</v>
      </c>
      <c r="L271" s="177" t="s">
        <v>663</v>
      </c>
      <c r="M271" s="177" t="s">
        <v>109</v>
      </c>
      <c r="N271" s="177" t="s">
        <v>109</v>
      </c>
      <c r="O271" s="180">
        <v>45664</v>
      </c>
      <c r="P271" s="177" t="s">
        <v>109</v>
      </c>
      <c r="Q271" s="177" t="s">
        <v>109</v>
      </c>
      <c r="R271" s="177" t="s">
        <v>109</v>
      </c>
      <c r="S271" s="177" t="s">
        <v>109</v>
      </c>
      <c r="T271" s="177" t="s">
        <v>404</v>
      </c>
      <c r="U271" s="177" t="s">
        <v>1963</v>
      </c>
      <c r="V271" s="177" t="b">
        <v>0</v>
      </c>
      <c r="W271" s="177" t="s">
        <v>487</v>
      </c>
      <c r="X271" s="261"/>
      <c r="Y271" s="177">
        <v>1.1599999999999999</v>
      </c>
      <c r="Z271" s="177" t="s">
        <v>118</v>
      </c>
      <c r="AA271" s="177">
        <v>69</v>
      </c>
      <c r="AB271" s="177" t="s">
        <v>109</v>
      </c>
      <c r="AC271" s="177">
        <v>1.2</v>
      </c>
      <c r="AD271" s="177" t="s">
        <v>1964</v>
      </c>
      <c r="AE271" s="177" t="s">
        <v>1965</v>
      </c>
      <c r="AF271" s="177">
        <v>1</v>
      </c>
      <c r="AG271" s="177">
        <v>20140</v>
      </c>
      <c r="AH271" s="177" t="s">
        <v>121</v>
      </c>
      <c r="AI271" s="177" t="b">
        <v>1</v>
      </c>
      <c r="AJ271" s="180">
        <v>44000</v>
      </c>
      <c r="AK271" s="177" t="s">
        <v>122</v>
      </c>
      <c r="AL271" s="177">
        <v>2020</v>
      </c>
      <c r="AM271" s="177" t="s">
        <v>109</v>
      </c>
      <c r="AN271" s="177" t="b">
        <v>0</v>
      </c>
      <c r="AO271" s="177" t="s">
        <v>109</v>
      </c>
      <c r="AP271" s="177" t="s">
        <v>109</v>
      </c>
      <c r="AQ271" s="177" t="s">
        <v>118</v>
      </c>
      <c r="AR271" s="177" t="b">
        <v>0</v>
      </c>
      <c r="AS271" s="177" t="s">
        <v>123</v>
      </c>
      <c r="AT271" s="180" t="s">
        <v>123</v>
      </c>
      <c r="AU271" s="177" t="s">
        <v>124</v>
      </c>
      <c r="AV271" s="177" t="s">
        <v>109</v>
      </c>
      <c r="AW271" s="177" t="s">
        <v>109</v>
      </c>
      <c r="AX271" s="177" t="s">
        <v>109</v>
      </c>
      <c r="AY271" s="177" t="s">
        <v>123</v>
      </c>
      <c r="AZ271" s="177" t="s">
        <v>1966</v>
      </c>
      <c r="BA271" s="177" t="s">
        <v>125</v>
      </c>
      <c r="BB271" s="177">
        <v>2025</v>
      </c>
      <c r="BC271" s="177" t="s">
        <v>126</v>
      </c>
      <c r="BD271" s="177" t="s">
        <v>109</v>
      </c>
      <c r="BE271" s="180" t="s">
        <v>109</v>
      </c>
      <c r="BF271" s="180" t="s">
        <v>137</v>
      </c>
      <c r="BG271" s="180" t="s">
        <v>1463</v>
      </c>
      <c r="BH271" s="177" t="s">
        <v>326</v>
      </c>
      <c r="BI271" s="177" t="s">
        <v>109</v>
      </c>
      <c r="BJ271" s="177" t="b">
        <v>1</v>
      </c>
      <c r="BK271" s="233">
        <v>1810.588</v>
      </c>
      <c r="BL271" s="234" t="s">
        <v>128</v>
      </c>
      <c r="BM271" s="254">
        <v>14064.201999999999</v>
      </c>
      <c r="BN271" s="254">
        <v>26.16067</v>
      </c>
      <c r="BO271" s="254">
        <v>150.04261</v>
      </c>
      <c r="BP271" s="254">
        <v>274.80609000000004</v>
      </c>
      <c r="BQ271" s="254">
        <v>558.03511000000003</v>
      </c>
      <c r="BR271" s="254">
        <v>226.02151000000001</v>
      </c>
      <c r="BS271" s="254">
        <v>169.32893999999999</v>
      </c>
      <c r="BT271" s="254">
        <v>332.95737500000001</v>
      </c>
      <c r="BU271" s="254">
        <v>1648.0611418999999</v>
      </c>
      <c r="BV271" s="254">
        <v>10678.788246800001</v>
      </c>
      <c r="BW271" s="254">
        <v>0</v>
      </c>
      <c r="BX271" s="254">
        <v>0</v>
      </c>
      <c r="BY271" s="255">
        <v>1404.395</v>
      </c>
      <c r="BZ271" s="236" t="s">
        <v>109</v>
      </c>
      <c r="CA271" s="236" t="s">
        <v>109</v>
      </c>
      <c r="CB271" s="246">
        <v>2025</v>
      </c>
      <c r="CC271" s="254">
        <v>0</v>
      </c>
      <c r="CD271" s="254">
        <v>0</v>
      </c>
      <c r="CE271" s="254">
        <v>0</v>
      </c>
      <c r="CF271" s="254">
        <v>0</v>
      </c>
      <c r="CG271" s="254">
        <v>0</v>
      </c>
      <c r="CH271" s="254">
        <v>0</v>
      </c>
      <c r="CI271" s="254">
        <v>1440.9949286999999</v>
      </c>
      <c r="CJ271" s="237">
        <v>0</v>
      </c>
      <c r="CK271" s="177" t="s">
        <v>128</v>
      </c>
      <c r="CL271" s="177">
        <v>2.9</v>
      </c>
      <c r="CM271" s="155" t="s">
        <v>109</v>
      </c>
      <c r="CN271" s="229">
        <v>0</v>
      </c>
      <c r="CO271" s="229">
        <v>1</v>
      </c>
      <c r="CP271" t="s">
        <v>155</v>
      </c>
      <c r="CR271" s="248"/>
    </row>
    <row r="272" spans="1:96" ht="14.4" x14ac:dyDescent="0.3">
      <c r="A272">
        <v>269</v>
      </c>
      <c r="B272" s="173" t="s">
        <v>1967</v>
      </c>
      <c r="C272" s="259"/>
      <c r="D272" s="260"/>
      <c r="E272" t="s">
        <v>1968</v>
      </c>
      <c r="F272" t="s">
        <v>1969</v>
      </c>
      <c r="G272" s="177" t="s">
        <v>688</v>
      </c>
      <c r="H272" s="177" t="s">
        <v>146</v>
      </c>
      <c r="I272" s="177" t="s">
        <v>109</v>
      </c>
      <c r="J272" s="177" t="s">
        <v>109</v>
      </c>
      <c r="K272" s="177" t="s">
        <v>662</v>
      </c>
      <c r="L272" s="177" t="s">
        <v>663</v>
      </c>
      <c r="M272" s="177" t="s">
        <v>109</v>
      </c>
      <c r="N272" s="177" t="s">
        <v>109</v>
      </c>
      <c r="O272" s="180">
        <v>45669</v>
      </c>
      <c r="P272" s="177" t="s">
        <v>1970</v>
      </c>
      <c r="Q272" s="177" t="s">
        <v>109</v>
      </c>
      <c r="R272" s="177" t="s">
        <v>109</v>
      </c>
      <c r="S272" s="177" t="s">
        <v>109</v>
      </c>
      <c r="T272" s="177" t="s">
        <v>404</v>
      </c>
      <c r="U272" s="177" t="s">
        <v>117</v>
      </c>
      <c r="V272" s="177" t="b">
        <v>0</v>
      </c>
      <c r="W272" s="177" t="s">
        <v>109</v>
      </c>
      <c r="X272" s="261"/>
      <c r="Y272" s="177">
        <v>6.1778370000000002</v>
      </c>
      <c r="Z272" s="177" t="s">
        <v>118</v>
      </c>
      <c r="AA272" s="177">
        <v>69</v>
      </c>
      <c r="AB272" s="177" t="s">
        <v>109</v>
      </c>
      <c r="AC272" s="177">
        <v>1.2</v>
      </c>
      <c r="AD272" s="177" t="s">
        <v>1971</v>
      </c>
      <c r="AE272" s="177" t="s">
        <v>1972</v>
      </c>
      <c r="AF272" s="177">
        <v>1</v>
      </c>
      <c r="AG272" s="177">
        <v>20141</v>
      </c>
      <c r="AH272" s="177" t="s">
        <v>121</v>
      </c>
      <c r="AI272" s="177" t="b">
        <v>1</v>
      </c>
      <c r="AJ272" s="180">
        <v>44000</v>
      </c>
      <c r="AK272" s="177" t="s">
        <v>122</v>
      </c>
      <c r="AL272" s="177">
        <v>2020</v>
      </c>
      <c r="AM272" s="177" t="s">
        <v>109</v>
      </c>
      <c r="AN272" s="177" t="b">
        <v>0</v>
      </c>
      <c r="AO272" s="177" t="s">
        <v>109</v>
      </c>
      <c r="AP272" s="177" t="s">
        <v>109</v>
      </c>
      <c r="AQ272" s="177" t="s">
        <v>118</v>
      </c>
      <c r="AR272" s="177" t="b">
        <v>0</v>
      </c>
      <c r="AS272" s="177" t="s">
        <v>123</v>
      </c>
      <c r="AT272" s="180" t="s">
        <v>123</v>
      </c>
      <c r="AU272" s="177" t="s">
        <v>124</v>
      </c>
      <c r="AV272" s="177" t="s">
        <v>109</v>
      </c>
      <c r="AW272" s="177" t="s">
        <v>118</v>
      </c>
      <c r="AX272" s="177" t="s">
        <v>109</v>
      </c>
      <c r="AY272" s="177" t="s">
        <v>135</v>
      </c>
      <c r="AZ272" s="177" t="s">
        <v>109</v>
      </c>
      <c r="BA272" s="177" t="s">
        <v>125</v>
      </c>
      <c r="BB272" s="177" t="s">
        <v>109</v>
      </c>
      <c r="BC272" s="177" t="s">
        <v>546</v>
      </c>
      <c r="BD272" s="177" t="s">
        <v>109</v>
      </c>
      <c r="BE272" s="180" t="s">
        <v>1973</v>
      </c>
      <c r="BF272" s="180" t="s">
        <v>127</v>
      </c>
      <c r="BG272" s="180" t="s">
        <v>1974</v>
      </c>
      <c r="BH272" s="177" t="s">
        <v>138</v>
      </c>
      <c r="BI272" s="177" t="s">
        <v>109</v>
      </c>
      <c r="BJ272" s="250" t="b">
        <v>1</v>
      </c>
      <c r="BK272" s="233">
        <v>1979.963</v>
      </c>
      <c r="BL272" s="234" t="s">
        <v>128</v>
      </c>
      <c r="BM272" s="254">
        <v>22972.447</v>
      </c>
      <c r="BN272" s="254">
        <v>44.594089999999994</v>
      </c>
      <c r="BO272" s="254">
        <v>177.16578000000001</v>
      </c>
      <c r="BP272" s="254">
        <v>521.18691000000001</v>
      </c>
      <c r="BQ272" s="254">
        <v>373.74114000000003</v>
      </c>
      <c r="BR272" s="254">
        <v>328.16838000000001</v>
      </c>
      <c r="BS272" s="254">
        <v>75.580760000000012</v>
      </c>
      <c r="BT272" s="254">
        <v>340.11122809999995</v>
      </c>
      <c r="BU272" s="254">
        <v>1799.5463963000002</v>
      </c>
      <c r="BV272" s="254">
        <v>19312.3526728</v>
      </c>
      <c r="BW272" s="254">
        <v>0</v>
      </c>
      <c r="BX272" s="254">
        <v>0</v>
      </c>
      <c r="BY272" s="255">
        <v>1520.4359999999999</v>
      </c>
      <c r="BZ272" s="236" t="s">
        <v>109</v>
      </c>
      <c r="CA272" s="236" t="s">
        <v>109</v>
      </c>
      <c r="CB272" s="258">
        <v>2025</v>
      </c>
      <c r="CC272" s="254">
        <v>0</v>
      </c>
      <c r="CD272" s="254">
        <v>0</v>
      </c>
      <c r="CE272" s="254">
        <v>0</v>
      </c>
      <c r="CF272" s="254">
        <v>0</v>
      </c>
      <c r="CG272" s="254">
        <v>0</v>
      </c>
      <c r="CH272" s="254">
        <v>0</v>
      </c>
      <c r="CI272" s="254">
        <v>236.65339189999997</v>
      </c>
      <c r="CJ272" s="237">
        <v>0</v>
      </c>
      <c r="CK272" s="177" t="s">
        <v>128</v>
      </c>
      <c r="CL272" s="177">
        <v>3.9</v>
      </c>
      <c r="CM272" s="155" t="s">
        <v>109</v>
      </c>
      <c r="CN272" s="229">
        <v>0</v>
      </c>
      <c r="CO272" s="229">
        <v>1</v>
      </c>
      <c r="CP272" t="s">
        <v>337</v>
      </c>
      <c r="CR272" s="248"/>
    </row>
    <row r="273" spans="1:96" ht="14.4" x14ac:dyDescent="0.3">
      <c r="A273">
        <v>270</v>
      </c>
      <c r="B273" s="173" t="s">
        <v>1975</v>
      </c>
      <c r="C273" s="259"/>
      <c r="D273" s="260"/>
      <c r="E273" t="s">
        <v>329</v>
      </c>
      <c r="F273" t="s">
        <v>1976</v>
      </c>
      <c r="G273" s="177" t="s">
        <v>688</v>
      </c>
      <c r="H273" s="177" t="s">
        <v>146</v>
      </c>
      <c r="I273" s="177" t="s">
        <v>109</v>
      </c>
      <c r="J273" s="177" t="s">
        <v>109</v>
      </c>
      <c r="K273" s="177" t="s">
        <v>662</v>
      </c>
      <c r="L273" s="177" t="s">
        <v>663</v>
      </c>
      <c r="M273" s="177" t="s">
        <v>109</v>
      </c>
      <c r="N273" s="177" t="s">
        <v>109</v>
      </c>
      <c r="O273" s="180">
        <v>45682</v>
      </c>
      <c r="P273" s="177" t="s">
        <v>1977</v>
      </c>
      <c r="Q273" s="177" t="s">
        <v>109</v>
      </c>
      <c r="R273" s="177" t="s">
        <v>109</v>
      </c>
      <c r="S273" s="177" t="s">
        <v>109</v>
      </c>
      <c r="T273" s="177" t="s">
        <v>404</v>
      </c>
      <c r="U273" s="177" t="s">
        <v>1563</v>
      </c>
      <c r="V273" s="177" t="b">
        <v>0</v>
      </c>
      <c r="W273" s="177" t="s">
        <v>487</v>
      </c>
      <c r="X273" s="261"/>
      <c r="Y273" s="177">
        <v>5.4502920000000001</v>
      </c>
      <c r="Z273" s="177" t="s">
        <v>109</v>
      </c>
      <c r="AA273" s="177">
        <v>69</v>
      </c>
      <c r="AB273" s="177" t="s">
        <v>109</v>
      </c>
      <c r="AC273" s="177">
        <v>1.2</v>
      </c>
      <c r="AD273" s="177" t="s">
        <v>1978</v>
      </c>
      <c r="AE273" s="177" t="s">
        <v>1979</v>
      </c>
      <c r="AF273" s="177">
        <v>1</v>
      </c>
      <c r="AG273" s="177">
        <v>20142</v>
      </c>
      <c r="AH273" s="177" t="s">
        <v>121</v>
      </c>
      <c r="AI273" s="177" t="b">
        <v>1</v>
      </c>
      <c r="AJ273" s="180">
        <v>45533</v>
      </c>
      <c r="AK273" s="177" t="s">
        <v>122</v>
      </c>
      <c r="AL273" s="177">
        <v>2020</v>
      </c>
      <c r="AM273" s="177" t="s">
        <v>109</v>
      </c>
      <c r="AN273" s="177" t="b">
        <v>0</v>
      </c>
      <c r="AO273" s="177" t="s">
        <v>109</v>
      </c>
      <c r="AP273" s="177" t="s">
        <v>109</v>
      </c>
      <c r="AQ273" s="177" t="s">
        <v>118</v>
      </c>
      <c r="AR273" s="177" t="b">
        <v>0</v>
      </c>
      <c r="AS273" s="177" t="s">
        <v>123</v>
      </c>
      <c r="AT273" s="180" t="s">
        <v>123</v>
      </c>
      <c r="AU273" s="177" t="s">
        <v>124</v>
      </c>
      <c r="AV273" s="177" t="s">
        <v>109</v>
      </c>
      <c r="AW273" s="177" t="s">
        <v>109</v>
      </c>
      <c r="AX273" s="177" t="s">
        <v>109</v>
      </c>
      <c r="AY273" s="177" t="s">
        <v>135</v>
      </c>
      <c r="AZ273" s="177" t="s">
        <v>109</v>
      </c>
      <c r="BA273" s="177" t="s">
        <v>125</v>
      </c>
      <c r="BB273" s="177" t="s">
        <v>109</v>
      </c>
      <c r="BC273" s="177" t="s">
        <v>699</v>
      </c>
      <c r="BD273" s="177" t="s">
        <v>109</v>
      </c>
      <c r="BE273" s="180" t="s">
        <v>1980</v>
      </c>
      <c r="BF273" s="180" t="s">
        <v>891</v>
      </c>
      <c r="BG273" s="180" t="s">
        <v>1981</v>
      </c>
      <c r="BH273" s="177" t="s">
        <v>109</v>
      </c>
      <c r="BI273" s="177" t="s">
        <v>109</v>
      </c>
      <c r="BJ273" s="177" t="b">
        <v>1</v>
      </c>
      <c r="BK273" s="233">
        <v>1979.963</v>
      </c>
      <c r="BL273" s="234" t="s">
        <v>128</v>
      </c>
      <c r="BM273" s="254">
        <v>23956.239000000001</v>
      </c>
      <c r="BN273" s="254">
        <v>27.315330000000003</v>
      </c>
      <c r="BO273" s="254">
        <v>257.99223000000001</v>
      </c>
      <c r="BP273" s="254">
        <v>292.59417999999999</v>
      </c>
      <c r="BQ273" s="254">
        <v>545.06207999999992</v>
      </c>
      <c r="BR273" s="254">
        <v>3288.5870499999996</v>
      </c>
      <c r="BS273" s="254">
        <v>158.61967999999999</v>
      </c>
      <c r="BT273" s="254">
        <v>6453.1623959000008</v>
      </c>
      <c r="BU273" s="254">
        <v>12861.350465</v>
      </c>
      <c r="BV273" s="254">
        <v>71.555145400000001</v>
      </c>
      <c r="BW273" s="254">
        <v>0</v>
      </c>
      <c r="BX273" s="254">
        <v>0</v>
      </c>
      <c r="BY273" s="255">
        <v>4570.1710000000003</v>
      </c>
      <c r="BZ273" s="236" t="s">
        <v>109</v>
      </c>
      <c r="CA273" s="236" t="s">
        <v>109</v>
      </c>
      <c r="CB273" s="246">
        <v>2025</v>
      </c>
      <c r="CC273" s="254">
        <v>0</v>
      </c>
      <c r="CD273" s="254">
        <v>0</v>
      </c>
      <c r="CE273" s="254">
        <v>0</v>
      </c>
      <c r="CF273" s="254">
        <v>0</v>
      </c>
      <c r="CG273" s="254">
        <v>0</v>
      </c>
      <c r="CH273" s="254">
        <v>28.536360000000002</v>
      </c>
      <c r="CI273" s="254">
        <v>6142.1261684000001</v>
      </c>
      <c r="CJ273" s="237">
        <v>0</v>
      </c>
      <c r="CK273" s="177" t="s">
        <v>128</v>
      </c>
      <c r="CL273" s="177">
        <v>8.1999999999999993</v>
      </c>
      <c r="CM273" s="155" t="s">
        <v>109</v>
      </c>
      <c r="CN273" s="229">
        <v>0</v>
      </c>
      <c r="CO273" s="229">
        <v>1</v>
      </c>
      <c r="CP273" t="s">
        <v>155</v>
      </c>
      <c r="CR273" s="248"/>
    </row>
    <row r="274" spans="1:96" ht="14.4" x14ac:dyDescent="0.3">
      <c r="A274">
        <v>271</v>
      </c>
      <c r="B274" s="173" t="s">
        <v>1982</v>
      </c>
      <c r="C274" s="259"/>
      <c r="D274" s="260"/>
      <c r="E274" t="s">
        <v>329</v>
      </c>
      <c r="F274" t="s">
        <v>1983</v>
      </c>
      <c r="G274" s="177" t="s">
        <v>661</v>
      </c>
      <c r="H274" s="177" t="s">
        <v>146</v>
      </c>
      <c r="I274" s="177" t="s">
        <v>113</v>
      </c>
      <c r="J274" s="177" t="s">
        <v>109</v>
      </c>
      <c r="K274" s="177" t="s">
        <v>662</v>
      </c>
      <c r="L274" s="177" t="s">
        <v>925</v>
      </c>
      <c r="M274" s="177" t="s">
        <v>109</v>
      </c>
      <c r="N274" s="177" t="s">
        <v>109</v>
      </c>
      <c r="O274" s="180">
        <v>45674</v>
      </c>
      <c r="P274" s="177" t="s">
        <v>109</v>
      </c>
      <c r="Q274" s="177" t="s">
        <v>109</v>
      </c>
      <c r="R274" s="177" t="s">
        <v>109</v>
      </c>
      <c r="S274" s="177" t="s">
        <v>109</v>
      </c>
      <c r="T274" s="177" t="s">
        <v>1910</v>
      </c>
      <c r="U274" s="177" t="s">
        <v>117</v>
      </c>
      <c r="V274" s="177" t="b">
        <v>0</v>
      </c>
      <c r="W274" s="177" t="s">
        <v>109</v>
      </c>
      <c r="X274" s="261"/>
      <c r="Y274" s="177">
        <v>0.9</v>
      </c>
      <c r="Z274" s="177" t="s">
        <v>118</v>
      </c>
      <c r="AA274" s="177">
        <v>69</v>
      </c>
      <c r="AB274" s="177" t="s">
        <v>109</v>
      </c>
      <c r="AC274" s="177">
        <v>1.2</v>
      </c>
      <c r="AD274" s="177" t="s">
        <v>1984</v>
      </c>
      <c r="AE274" s="177" t="s">
        <v>1985</v>
      </c>
      <c r="AF274" s="177">
        <v>1</v>
      </c>
      <c r="AG274" s="177">
        <v>20143</v>
      </c>
      <c r="AH274" s="177" t="s">
        <v>121</v>
      </c>
      <c r="AI274" s="177" t="b">
        <v>1</v>
      </c>
      <c r="AJ274" s="180">
        <v>44000</v>
      </c>
      <c r="AK274" s="177" t="s">
        <v>122</v>
      </c>
      <c r="AL274" s="177">
        <v>2020</v>
      </c>
      <c r="AM274" s="177" t="s">
        <v>109</v>
      </c>
      <c r="AN274" s="177" t="b">
        <v>0</v>
      </c>
      <c r="AO274" s="177" t="s">
        <v>109</v>
      </c>
      <c r="AP274" s="177" t="s">
        <v>109</v>
      </c>
      <c r="AQ274" s="177" t="s">
        <v>118</v>
      </c>
      <c r="AR274" s="177" t="b">
        <v>0</v>
      </c>
      <c r="AS274" s="177" t="s">
        <v>123</v>
      </c>
      <c r="AT274" s="180" t="s">
        <v>123</v>
      </c>
      <c r="AU274" s="177" t="s">
        <v>124</v>
      </c>
      <c r="AV274" s="177" t="s">
        <v>109</v>
      </c>
      <c r="AW274" s="177" t="s">
        <v>109</v>
      </c>
      <c r="AX274" s="177" t="s">
        <v>118</v>
      </c>
      <c r="AY274" s="177" t="s">
        <v>123</v>
      </c>
      <c r="AZ274" s="177" t="s">
        <v>109</v>
      </c>
      <c r="BA274" s="177" t="s">
        <v>125</v>
      </c>
      <c r="BB274" s="177" t="s">
        <v>109</v>
      </c>
      <c r="BC274" s="177" t="s">
        <v>546</v>
      </c>
      <c r="BD274" s="177" t="s">
        <v>109</v>
      </c>
      <c r="BE274" s="180" t="s">
        <v>109</v>
      </c>
      <c r="BF274" s="180" t="s">
        <v>127</v>
      </c>
      <c r="BG274" s="180" t="s">
        <v>891</v>
      </c>
      <c r="BH274" s="177" t="s">
        <v>109</v>
      </c>
      <c r="BI274" s="177" t="s">
        <v>109</v>
      </c>
      <c r="BJ274" s="177" t="b">
        <v>0</v>
      </c>
      <c r="BK274" s="233">
        <v>1973</v>
      </c>
      <c r="BL274" s="234" t="s">
        <v>128</v>
      </c>
      <c r="BM274" s="254">
        <v>4539.6139999999996</v>
      </c>
      <c r="BN274" s="254">
        <v>0</v>
      </c>
      <c r="BO274" s="254">
        <v>56.286279999999998</v>
      </c>
      <c r="BP274" s="254">
        <v>139.36985999999999</v>
      </c>
      <c r="BQ274" s="254">
        <v>257.64591999999999</v>
      </c>
      <c r="BR274" s="254">
        <v>125.85903999999999</v>
      </c>
      <c r="BS274" s="254">
        <v>38.641179999999999</v>
      </c>
      <c r="BT274" s="254">
        <v>61.3905283</v>
      </c>
      <c r="BU274" s="254">
        <v>3860.4214098000002</v>
      </c>
      <c r="BV274" s="254">
        <v>0</v>
      </c>
      <c r="BW274" s="254">
        <v>0</v>
      </c>
      <c r="BX274" s="254">
        <v>0</v>
      </c>
      <c r="BY274" s="255">
        <v>617.80200000000002</v>
      </c>
      <c r="BZ274" s="236" t="s">
        <v>109</v>
      </c>
      <c r="CA274" s="236" t="s">
        <v>109</v>
      </c>
      <c r="CB274" s="236" t="s">
        <v>109</v>
      </c>
      <c r="CC274" s="254">
        <v>0</v>
      </c>
      <c r="CD274" s="254">
        <v>0</v>
      </c>
      <c r="CE274" s="254">
        <v>0</v>
      </c>
      <c r="CF274" s="254">
        <v>0</v>
      </c>
      <c r="CG274" s="254">
        <v>0</v>
      </c>
      <c r="CH274" s="254">
        <v>0</v>
      </c>
      <c r="CI274" s="254">
        <v>0</v>
      </c>
      <c r="CJ274" s="237">
        <v>0</v>
      </c>
      <c r="CK274" s="177" t="s">
        <v>128</v>
      </c>
      <c r="CL274" s="177">
        <v>2.1</v>
      </c>
      <c r="CM274" s="155" t="s">
        <v>109</v>
      </c>
      <c r="CN274" s="229">
        <v>0</v>
      </c>
      <c r="CO274" s="229">
        <v>1</v>
      </c>
      <c r="CP274" t="s">
        <v>155</v>
      </c>
      <c r="CR274" s="248"/>
    </row>
    <row r="275" spans="1:96" ht="14.4" x14ac:dyDescent="0.3">
      <c r="A275">
        <v>272</v>
      </c>
      <c r="B275" s="173" t="s">
        <v>1986</v>
      </c>
      <c r="C275" s="259"/>
      <c r="D275" s="260"/>
      <c r="E275" t="s">
        <v>177</v>
      </c>
      <c r="F275" t="s">
        <v>1987</v>
      </c>
      <c r="G275" s="177" t="s">
        <v>661</v>
      </c>
      <c r="H275" s="177" t="s">
        <v>146</v>
      </c>
      <c r="I275" s="177" t="s">
        <v>113</v>
      </c>
      <c r="J275" s="177" t="s">
        <v>109</v>
      </c>
      <c r="K275" s="177" t="s">
        <v>662</v>
      </c>
      <c r="L275" s="177" t="s">
        <v>925</v>
      </c>
      <c r="M275" s="177" t="s">
        <v>109</v>
      </c>
      <c r="N275" s="177" t="s">
        <v>109</v>
      </c>
      <c r="O275" s="180">
        <v>45670</v>
      </c>
      <c r="P275" s="177" t="s">
        <v>1977</v>
      </c>
      <c r="Q275" s="177" t="s">
        <v>109</v>
      </c>
      <c r="R275" s="177" t="s">
        <v>109</v>
      </c>
      <c r="S275" s="177" t="s">
        <v>109</v>
      </c>
      <c r="T275" s="177" t="s">
        <v>404</v>
      </c>
      <c r="U275" s="177" t="s">
        <v>117</v>
      </c>
      <c r="V275" s="177" t="b">
        <v>0</v>
      </c>
      <c r="W275" s="177" t="s">
        <v>109</v>
      </c>
      <c r="X275" s="261"/>
      <c r="Y275" s="177">
        <v>2.8</v>
      </c>
      <c r="Z275" s="177" t="s">
        <v>118</v>
      </c>
      <c r="AA275" s="177">
        <v>69</v>
      </c>
      <c r="AB275" s="177" t="s">
        <v>109</v>
      </c>
      <c r="AC275" s="177">
        <v>1.2</v>
      </c>
      <c r="AD275" s="177" t="s">
        <v>1988</v>
      </c>
      <c r="AE275" s="177" t="s">
        <v>1989</v>
      </c>
      <c r="AF275" s="177">
        <v>1</v>
      </c>
      <c r="AG275" s="177">
        <v>20144</v>
      </c>
      <c r="AH275" s="177" t="s">
        <v>121</v>
      </c>
      <c r="AI275" s="177" t="b">
        <v>1</v>
      </c>
      <c r="AJ275" s="180">
        <v>44000</v>
      </c>
      <c r="AK275" s="177" t="s">
        <v>122</v>
      </c>
      <c r="AL275" s="177">
        <v>2020</v>
      </c>
      <c r="AM275" s="177" t="s">
        <v>109</v>
      </c>
      <c r="AN275" s="177" t="b">
        <v>0</v>
      </c>
      <c r="AO275" s="177" t="s">
        <v>109</v>
      </c>
      <c r="AP275" s="177" t="s">
        <v>109</v>
      </c>
      <c r="AQ275" s="177" t="s">
        <v>118</v>
      </c>
      <c r="AR275" s="177" t="b">
        <v>0</v>
      </c>
      <c r="AS275" s="177" t="s">
        <v>123</v>
      </c>
      <c r="AT275" s="180" t="s">
        <v>123</v>
      </c>
      <c r="AU275" s="177" t="s">
        <v>124</v>
      </c>
      <c r="AV275" s="177" t="s">
        <v>109</v>
      </c>
      <c r="AW275" s="177" t="s">
        <v>109</v>
      </c>
      <c r="AX275" s="177" t="s">
        <v>118</v>
      </c>
      <c r="AY275" s="177" t="s">
        <v>123</v>
      </c>
      <c r="AZ275" s="177" t="s">
        <v>109</v>
      </c>
      <c r="BA275" s="177" t="s">
        <v>109</v>
      </c>
      <c r="BB275" s="177" t="s">
        <v>109</v>
      </c>
      <c r="BC275" s="177" t="s">
        <v>546</v>
      </c>
      <c r="BD275" s="177" t="s">
        <v>109</v>
      </c>
      <c r="BE275" s="180" t="s">
        <v>1990</v>
      </c>
      <c r="BF275" s="180" t="s">
        <v>127</v>
      </c>
      <c r="BG275" s="180" t="s">
        <v>1990</v>
      </c>
      <c r="BH275" s="177" t="s">
        <v>326</v>
      </c>
      <c r="BI275" s="177" t="s">
        <v>109</v>
      </c>
      <c r="BJ275" s="177" t="b">
        <v>0</v>
      </c>
      <c r="BK275" s="233">
        <v>1973.076</v>
      </c>
      <c r="BL275" s="234" t="s">
        <v>128</v>
      </c>
      <c r="BM275" s="254">
        <v>5476.8580000000002</v>
      </c>
      <c r="BN275" s="254">
        <v>0</v>
      </c>
      <c r="BO275" s="254">
        <v>56.619399999999999</v>
      </c>
      <c r="BP275" s="254">
        <v>46.500480000000003</v>
      </c>
      <c r="BQ275" s="254">
        <v>93.741460000000004</v>
      </c>
      <c r="BR275" s="254">
        <v>354.04275000000001</v>
      </c>
      <c r="BS275" s="254">
        <v>85.978069999999988</v>
      </c>
      <c r="BT275" s="254">
        <v>100.8715199</v>
      </c>
      <c r="BU275" s="254">
        <v>4640.4717101999995</v>
      </c>
      <c r="BV275" s="254">
        <v>98.632111800000004</v>
      </c>
      <c r="BW275" s="254">
        <v>0</v>
      </c>
      <c r="BX275" s="254">
        <v>0</v>
      </c>
      <c r="BY275" s="255">
        <v>636.88199999999995</v>
      </c>
      <c r="BZ275" s="236" t="s">
        <v>109</v>
      </c>
      <c r="CA275" s="236" t="s">
        <v>109</v>
      </c>
      <c r="CB275" s="236" t="s">
        <v>109</v>
      </c>
      <c r="CC275" s="254">
        <v>0</v>
      </c>
      <c r="CD275" s="254">
        <v>0</v>
      </c>
      <c r="CE275" s="254">
        <v>0</v>
      </c>
      <c r="CF275" s="254">
        <v>0</v>
      </c>
      <c r="CG275" s="254">
        <v>0</v>
      </c>
      <c r="CH275" s="254">
        <v>0</v>
      </c>
      <c r="CI275" s="254">
        <v>0</v>
      </c>
      <c r="CJ275" s="237">
        <v>0</v>
      </c>
      <c r="CK275" s="177" t="s">
        <v>128</v>
      </c>
      <c r="CL275" s="177">
        <v>1.1000000000000001</v>
      </c>
      <c r="CM275" s="155" t="s">
        <v>109</v>
      </c>
      <c r="CN275" s="229">
        <v>0</v>
      </c>
      <c r="CO275" s="229">
        <v>1</v>
      </c>
      <c r="CP275" t="s">
        <v>155</v>
      </c>
      <c r="CR275" s="248"/>
    </row>
    <row r="276" spans="1:96" ht="14.4" x14ac:dyDescent="0.3">
      <c r="A276">
        <v>273</v>
      </c>
      <c r="B276" s="173" t="s">
        <v>1991</v>
      </c>
      <c r="C276" s="259"/>
      <c r="D276" s="260"/>
      <c r="E276" t="s">
        <v>1992</v>
      </c>
      <c r="F276" t="s">
        <v>1993</v>
      </c>
      <c r="G276" s="177" t="s">
        <v>661</v>
      </c>
      <c r="H276" s="177" t="s">
        <v>146</v>
      </c>
      <c r="I276" s="177" t="s">
        <v>275</v>
      </c>
      <c r="J276" s="177" t="s">
        <v>109</v>
      </c>
      <c r="K276" s="177" t="s">
        <v>662</v>
      </c>
      <c r="L276" s="177" t="s">
        <v>663</v>
      </c>
      <c r="M276" s="177" t="s">
        <v>109</v>
      </c>
      <c r="N276" s="177" t="s">
        <v>109</v>
      </c>
      <c r="O276" s="180">
        <v>45708</v>
      </c>
      <c r="P276" s="177" t="s">
        <v>1994</v>
      </c>
      <c r="Q276" s="177" t="s">
        <v>109</v>
      </c>
      <c r="R276" s="177" t="s">
        <v>109</v>
      </c>
      <c r="S276" s="177" t="s">
        <v>109</v>
      </c>
      <c r="T276" s="177" t="s">
        <v>404</v>
      </c>
      <c r="U276" s="177" t="s">
        <v>117</v>
      </c>
      <c r="V276" s="177" t="b">
        <v>0</v>
      </c>
      <c r="W276" s="177" t="s">
        <v>109</v>
      </c>
      <c r="X276" s="261"/>
      <c r="Y276" s="177">
        <v>13.000332999999999</v>
      </c>
      <c r="Z276" s="177" t="s">
        <v>118</v>
      </c>
      <c r="AA276" s="177">
        <v>138</v>
      </c>
      <c r="AB276" s="177" t="s">
        <v>109</v>
      </c>
      <c r="AC276" s="177">
        <v>1.2</v>
      </c>
      <c r="AD276" s="177" t="s">
        <v>1995</v>
      </c>
      <c r="AE276" s="177" t="s">
        <v>1996</v>
      </c>
      <c r="AF276" s="177">
        <v>1</v>
      </c>
      <c r="AG276" s="177">
        <v>20145</v>
      </c>
      <c r="AH276" s="177" t="s">
        <v>121</v>
      </c>
      <c r="AI276" s="177" t="b">
        <v>1</v>
      </c>
      <c r="AJ276" s="180">
        <v>45405</v>
      </c>
      <c r="AK276" s="177" t="s">
        <v>122</v>
      </c>
      <c r="AL276" s="177">
        <v>2020</v>
      </c>
      <c r="AM276" s="177" t="s">
        <v>109</v>
      </c>
      <c r="AN276" s="177" t="b">
        <v>0</v>
      </c>
      <c r="AO276" s="177" t="s">
        <v>109</v>
      </c>
      <c r="AP276" s="177" t="s">
        <v>109</v>
      </c>
      <c r="AQ276" s="177" t="s">
        <v>118</v>
      </c>
      <c r="AR276" s="177" t="b">
        <v>0</v>
      </c>
      <c r="AS276" s="177" t="s">
        <v>109</v>
      </c>
      <c r="AT276" s="180" t="s">
        <v>118</v>
      </c>
      <c r="AU276" s="177" t="s">
        <v>109</v>
      </c>
      <c r="AV276" s="177" t="s">
        <v>109</v>
      </c>
      <c r="AW276" s="177" t="s">
        <v>118</v>
      </c>
      <c r="AX276" s="177" t="s">
        <v>118</v>
      </c>
      <c r="AY276" s="177" t="s">
        <v>135</v>
      </c>
      <c r="AZ276" s="177" t="s">
        <v>109</v>
      </c>
      <c r="BA276" s="177" t="s">
        <v>218</v>
      </c>
      <c r="BB276" s="177" t="s">
        <v>109</v>
      </c>
      <c r="BC276" s="177" t="s">
        <v>425</v>
      </c>
      <c r="BD276" s="177" t="s">
        <v>109</v>
      </c>
      <c r="BE276" s="180" t="s">
        <v>1997</v>
      </c>
      <c r="BF276" s="180" t="s">
        <v>127</v>
      </c>
      <c r="BG276" s="180" t="s">
        <v>1998</v>
      </c>
      <c r="BH276" s="177" t="s">
        <v>609</v>
      </c>
      <c r="BI276" s="177" t="s">
        <v>109</v>
      </c>
      <c r="BJ276" s="177" t="b">
        <v>0</v>
      </c>
      <c r="BK276" s="233">
        <v>88878</v>
      </c>
      <c r="BL276" s="234" t="s">
        <v>128</v>
      </c>
      <c r="BM276" s="254">
        <v>79776.710999999996</v>
      </c>
      <c r="BN276" s="254">
        <v>189.11099999999999</v>
      </c>
      <c r="BO276" s="254">
        <v>811.971</v>
      </c>
      <c r="BP276" s="254">
        <v>1536.3209999999999</v>
      </c>
      <c r="BQ276" s="254">
        <v>1213.4380000000001</v>
      </c>
      <c r="BR276" s="254">
        <v>3719.1329999999998</v>
      </c>
      <c r="BS276" s="254">
        <v>760.18899999999996</v>
      </c>
      <c r="BT276" s="254">
        <v>20460.63</v>
      </c>
      <c r="BU276" s="254">
        <v>51050.159</v>
      </c>
      <c r="BV276" s="254">
        <v>35.759</v>
      </c>
      <c r="BW276" s="254">
        <v>0</v>
      </c>
      <c r="BX276" s="254">
        <v>0</v>
      </c>
      <c r="BY276" s="255">
        <v>8230.1620000000003</v>
      </c>
      <c r="BZ276" s="236" t="s">
        <v>109</v>
      </c>
      <c r="CA276" s="236" t="s">
        <v>109</v>
      </c>
      <c r="CB276" s="236" t="s">
        <v>109</v>
      </c>
      <c r="CC276" s="254">
        <v>0</v>
      </c>
      <c r="CD276" s="254">
        <v>0</v>
      </c>
      <c r="CE276" s="254">
        <v>0</v>
      </c>
      <c r="CF276" s="254">
        <v>0</v>
      </c>
      <c r="CG276" s="254">
        <v>0</v>
      </c>
      <c r="CH276" s="254">
        <v>0</v>
      </c>
      <c r="CI276" s="254">
        <v>0</v>
      </c>
      <c r="CJ276" s="237">
        <v>0</v>
      </c>
      <c r="CK276" s="177" t="s">
        <v>128</v>
      </c>
      <c r="CL276" s="177">
        <v>4.5999999999999996</v>
      </c>
      <c r="CM276" s="155" t="s">
        <v>109</v>
      </c>
      <c r="CN276" s="229">
        <v>0</v>
      </c>
      <c r="CO276" s="229">
        <v>1</v>
      </c>
      <c r="CP276" t="s">
        <v>1999</v>
      </c>
      <c r="CR276" s="248"/>
    </row>
    <row r="277" spans="1:96" ht="14.4" x14ac:dyDescent="0.3">
      <c r="A277">
        <v>274</v>
      </c>
      <c r="B277" s="173" t="s">
        <v>2000</v>
      </c>
      <c r="C277" s="259"/>
      <c r="D277" s="260"/>
      <c r="E277" t="s">
        <v>380</v>
      </c>
      <c r="F277" t="s">
        <v>2001</v>
      </c>
      <c r="G277" s="177" t="s">
        <v>2002</v>
      </c>
      <c r="H277" s="177" t="s">
        <v>146</v>
      </c>
      <c r="I277" s="177" t="s">
        <v>109</v>
      </c>
      <c r="J277" s="177" t="s">
        <v>109</v>
      </c>
      <c r="K277" s="177" t="s">
        <v>114</v>
      </c>
      <c r="L277" s="177" t="s">
        <v>193</v>
      </c>
      <c r="M277" s="177" t="s">
        <v>109</v>
      </c>
      <c r="N277" s="177" t="s">
        <v>109</v>
      </c>
      <c r="O277" s="180">
        <v>45742</v>
      </c>
      <c r="P277" s="177" t="s">
        <v>2003</v>
      </c>
      <c r="Q277" s="177" t="s">
        <v>109</v>
      </c>
      <c r="R277" s="177" t="s">
        <v>1052</v>
      </c>
      <c r="S277" s="177" t="s">
        <v>109</v>
      </c>
      <c r="T277" s="177" t="s">
        <v>116</v>
      </c>
      <c r="U277" s="177" t="s">
        <v>117</v>
      </c>
      <c r="V277" s="177" t="b">
        <v>0</v>
      </c>
      <c r="W277" s="177" t="s">
        <v>109</v>
      </c>
      <c r="X277" s="261"/>
      <c r="Y277" s="177" t="s">
        <v>118</v>
      </c>
      <c r="Z277" s="176">
        <v>55.477547999999999</v>
      </c>
      <c r="AA277" s="177">
        <v>500</v>
      </c>
      <c r="AB277" s="177" t="s">
        <v>1433</v>
      </c>
      <c r="AC277" s="177">
        <v>4.0999999999999996</v>
      </c>
      <c r="AD277" s="177" t="s">
        <v>2004</v>
      </c>
      <c r="AE277" s="177" t="s">
        <v>2005</v>
      </c>
      <c r="AF277" s="177">
        <v>1</v>
      </c>
      <c r="AG277" s="177">
        <v>20148</v>
      </c>
      <c r="AH277" s="177" t="s">
        <v>121</v>
      </c>
      <c r="AI277" s="177" t="b">
        <v>1</v>
      </c>
      <c r="AJ277" s="180">
        <v>45510</v>
      </c>
      <c r="AK277" s="177" t="s">
        <v>122</v>
      </c>
      <c r="AL277" s="177">
        <v>2020</v>
      </c>
      <c r="AM277" s="177" t="s">
        <v>109</v>
      </c>
      <c r="AN277" s="177" t="b">
        <v>0</v>
      </c>
      <c r="AO277" s="177" t="s">
        <v>109</v>
      </c>
      <c r="AP277" s="177" t="s">
        <v>109</v>
      </c>
      <c r="AQ277" s="177" t="s">
        <v>118</v>
      </c>
      <c r="AR277" s="177" t="b">
        <v>0</v>
      </c>
      <c r="AS277" s="177" t="s">
        <v>123</v>
      </c>
      <c r="AT277" s="180" t="s">
        <v>123</v>
      </c>
      <c r="AU277" s="177" t="s">
        <v>124</v>
      </c>
      <c r="AV277" s="177" t="s">
        <v>109</v>
      </c>
      <c r="AW277" s="177" t="s">
        <v>118</v>
      </c>
      <c r="AX277" s="177" t="s">
        <v>118</v>
      </c>
      <c r="AY277" s="177" t="s">
        <v>135</v>
      </c>
      <c r="AZ277" s="177" t="s">
        <v>109</v>
      </c>
      <c r="BA277" s="177" t="s">
        <v>125</v>
      </c>
      <c r="BB277" s="177" t="s">
        <v>109</v>
      </c>
      <c r="BC277" s="177" t="s">
        <v>150</v>
      </c>
      <c r="BD277" s="177" t="s">
        <v>109</v>
      </c>
      <c r="BE277" s="180" t="s">
        <v>1577</v>
      </c>
      <c r="BF277" s="180" t="s">
        <v>2006</v>
      </c>
      <c r="BG277" s="180" t="s">
        <v>1222</v>
      </c>
      <c r="BH277" s="177" t="s">
        <v>138</v>
      </c>
      <c r="BI277" s="177" t="s">
        <v>109</v>
      </c>
      <c r="BJ277" s="177" t="b">
        <v>1</v>
      </c>
      <c r="BK277" s="233">
        <v>3742.2550000000001</v>
      </c>
      <c r="BL277" s="234" t="s">
        <v>128</v>
      </c>
      <c r="BM277" s="233">
        <v>4162.4408999999996</v>
      </c>
      <c r="BN277" s="233">
        <v>7.5324200000000001</v>
      </c>
      <c r="BO277" s="233">
        <v>1479.6704299999999</v>
      </c>
      <c r="BP277" s="233">
        <v>1034.0868499999999</v>
      </c>
      <c r="BQ277" s="233">
        <v>468.12491</v>
      </c>
      <c r="BR277" s="233">
        <v>1219.6760999999999</v>
      </c>
      <c r="BS277" s="233">
        <v>-46.649810000000002</v>
      </c>
      <c r="BT277" s="233">
        <v>0</v>
      </c>
      <c r="BU277" s="233">
        <v>0</v>
      </c>
      <c r="BV277" s="233">
        <v>0</v>
      </c>
      <c r="BW277" s="233">
        <v>0</v>
      </c>
      <c r="BX277" s="233">
        <v>0</v>
      </c>
      <c r="BY277" s="234">
        <v>0</v>
      </c>
      <c r="BZ277" s="236" t="s">
        <v>109</v>
      </c>
      <c r="CA277" s="236" t="s">
        <v>109</v>
      </c>
      <c r="CB277" s="236" t="s">
        <v>196</v>
      </c>
      <c r="CC277" s="233">
        <v>0</v>
      </c>
      <c r="CD277" s="233">
        <v>0</v>
      </c>
      <c r="CE277" s="233">
        <v>0</v>
      </c>
      <c r="CF277" s="233">
        <v>0</v>
      </c>
      <c r="CG277" s="233">
        <v>4209.0907100000004</v>
      </c>
      <c r="CH277" s="233">
        <v>-46.649810000000002</v>
      </c>
      <c r="CI277" s="233">
        <v>0</v>
      </c>
      <c r="CJ277" s="237">
        <v>0</v>
      </c>
      <c r="CK277" s="177" t="s">
        <v>128</v>
      </c>
      <c r="CL277" s="177">
        <v>18.5</v>
      </c>
      <c r="CM277" s="155" t="s">
        <v>109</v>
      </c>
      <c r="CN277" s="229">
        <v>1</v>
      </c>
      <c r="CO277" s="229">
        <v>0</v>
      </c>
      <c r="CP277" t="s">
        <v>337</v>
      </c>
      <c r="CR277" s="248"/>
    </row>
    <row r="278" spans="1:96" ht="14.4" x14ac:dyDescent="0.3">
      <c r="A278">
        <v>275</v>
      </c>
      <c r="B278" s="173" t="s">
        <v>2007</v>
      </c>
      <c r="C278" s="259"/>
      <c r="D278" s="260"/>
      <c r="E278" t="s">
        <v>329</v>
      </c>
      <c r="F278" t="s">
        <v>2008</v>
      </c>
      <c r="G278" s="177" t="s">
        <v>688</v>
      </c>
      <c r="H278" s="177" t="s">
        <v>146</v>
      </c>
      <c r="I278" s="177" t="s">
        <v>109</v>
      </c>
      <c r="J278" s="177" t="s">
        <v>109</v>
      </c>
      <c r="K278" s="177" t="s">
        <v>662</v>
      </c>
      <c r="L278" s="177" t="s">
        <v>663</v>
      </c>
      <c r="M278" s="177" t="s">
        <v>109</v>
      </c>
      <c r="N278" s="177" t="s">
        <v>109</v>
      </c>
      <c r="O278" s="180">
        <v>45708</v>
      </c>
      <c r="P278" s="177" t="s">
        <v>2009</v>
      </c>
      <c r="Q278" s="177" t="s">
        <v>109</v>
      </c>
      <c r="R278" s="177" t="s">
        <v>109</v>
      </c>
      <c r="S278" s="177" t="s">
        <v>109</v>
      </c>
      <c r="T278" s="177" t="s">
        <v>404</v>
      </c>
      <c r="U278" s="177" t="s">
        <v>117</v>
      </c>
      <c r="V278" s="177" t="b">
        <v>0</v>
      </c>
      <c r="W278" s="177" t="s">
        <v>109</v>
      </c>
      <c r="X278" s="261"/>
      <c r="Y278" s="177">
        <v>0.28630899999999998</v>
      </c>
      <c r="Z278" s="177" t="s">
        <v>118</v>
      </c>
      <c r="AA278" s="177">
        <v>69</v>
      </c>
      <c r="AB278" s="177" t="s">
        <v>109</v>
      </c>
      <c r="AC278" s="177">
        <v>1.2</v>
      </c>
      <c r="AD278" s="177" t="s">
        <v>2010</v>
      </c>
      <c r="AE278" s="177" t="s">
        <v>2011</v>
      </c>
      <c r="AF278" s="177">
        <v>1</v>
      </c>
      <c r="AG278" s="177">
        <v>20149</v>
      </c>
      <c r="AH278" s="177" t="s">
        <v>121</v>
      </c>
      <c r="AI278" s="177" t="b">
        <v>1</v>
      </c>
      <c r="AJ278" s="180">
        <v>45107</v>
      </c>
      <c r="AK278" s="177" t="s">
        <v>122</v>
      </c>
      <c r="AL278" s="177">
        <v>2020</v>
      </c>
      <c r="AM278" s="177" t="s">
        <v>109</v>
      </c>
      <c r="AN278" s="177" t="b">
        <v>0</v>
      </c>
      <c r="AO278" s="177" t="s">
        <v>109</v>
      </c>
      <c r="AP278" s="177" t="s">
        <v>109</v>
      </c>
      <c r="AQ278" s="177" t="s">
        <v>118</v>
      </c>
      <c r="AR278" s="177" t="b">
        <v>0</v>
      </c>
      <c r="AS278" s="177" t="s">
        <v>123</v>
      </c>
      <c r="AT278" s="180" t="s">
        <v>123</v>
      </c>
      <c r="AU278" s="177" t="s">
        <v>124</v>
      </c>
      <c r="AV278" s="177" t="s">
        <v>109</v>
      </c>
      <c r="AW278" s="177" t="s">
        <v>118</v>
      </c>
      <c r="AX278" s="177" t="s">
        <v>109</v>
      </c>
      <c r="AY278" s="177" t="s">
        <v>135</v>
      </c>
      <c r="AZ278" s="177" t="s">
        <v>109</v>
      </c>
      <c r="BA278" s="177" t="s">
        <v>494</v>
      </c>
      <c r="BB278" s="177">
        <v>2022</v>
      </c>
      <c r="BC278" s="177" t="s">
        <v>126</v>
      </c>
      <c r="BD278" s="177" t="s">
        <v>109</v>
      </c>
      <c r="BE278" s="180" t="s">
        <v>1178</v>
      </c>
      <c r="BF278" s="180" t="s">
        <v>1585</v>
      </c>
      <c r="BG278" s="180" t="s">
        <v>2012</v>
      </c>
      <c r="BH278" s="177" t="s">
        <v>109</v>
      </c>
      <c r="BI278" s="177" t="s">
        <v>109</v>
      </c>
      <c r="BJ278" s="177" t="b">
        <v>0</v>
      </c>
      <c r="BK278" s="233">
        <v>1959.396</v>
      </c>
      <c r="BL278" s="234" t="s">
        <v>128</v>
      </c>
      <c r="BM278" s="233">
        <v>4266.3205900000003</v>
      </c>
      <c r="BN278" s="233">
        <v>0.74709999999999999</v>
      </c>
      <c r="BO278" s="233">
        <v>171.03370000000001</v>
      </c>
      <c r="BP278" s="233">
        <v>300.76485000000002</v>
      </c>
      <c r="BQ278" s="233">
        <v>3682.8957500000001</v>
      </c>
      <c r="BR278" s="233">
        <v>110.87918999999999</v>
      </c>
      <c r="BS278" s="233">
        <v>0</v>
      </c>
      <c r="BT278" s="233">
        <v>0</v>
      </c>
      <c r="BU278" s="233">
        <v>0</v>
      </c>
      <c r="BV278" s="233">
        <v>0</v>
      </c>
      <c r="BW278" s="233">
        <v>0</v>
      </c>
      <c r="BX278" s="233">
        <v>0</v>
      </c>
      <c r="BY278" s="234">
        <v>0</v>
      </c>
      <c r="BZ278" s="236" t="s">
        <v>109</v>
      </c>
      <c r="CA278" s="236" t="s">
        <v>109</v>
      </c>
      <c r="CB278" s="233" t="s">
        <v>174</v>
      </c>
      <c r="CC278" s="233">
        <v>0</v>
      </c>
      <c r="CD278" s="233">
        <v>0</v>
      </c>
      <c r="CE278" s="233">
        <v>0</v>
      </c>
      <c r="CF278" s="233">
        <v>4155.4413999999997</v>
      </c>
      <c r="CG278" s="233">
        <v>110.87918999999999</v>
      </c>
      <c r="CH278" s="233">
        <v>0</v>
      </c>
      <c r="CI278" s="233">
        <v>0</v>
      </c>
      <c r="CJ278" s="237">
        <v>0</v>
      </c>
      <c r="CK278" s="177" t="s">
        <v>128</v>
      </c>
      <c r="CL278" s="177" t="s">
        <v>128</v>
      </c>
      <c r="CM278" s="155" t="s">
        <v>109</v>
      </c>
      <c r="CN278" s="229">
        <v>0</v>
      </c>
      <c r="CO278" s="229">
        <v>1</v>
      </c>
      <c r="CP278" t="s">
        <v>155</v>
      </c>
      <c r="CR278" s="248"/>
    </row>
    <row r="279" spans="1:96" ht="14.4" x14ac:dyDescent="0.3">
      <c r="A279">
        <v>276</v>
      </c>
      <c r="B279" s="173" t="s">
        <v>2013</v>
      </c>
      <c r="C279" s="259"/>
      <c r="D279" s="260"/>
      <c r="E279" t="s">
        <v>2014</v>
      </c>
      <c r="F279" t="s">
        <v>2015</v>
      </c>
      <c r="G279" s="177" t="s">
        <v>661</v>
      </c>
      <c r="H279" s="177" t="s">
        <v>146</v>
      </c>
      <c r="I279" s="177" t="s">
        <v>113</v>
      </c>
      <c r="J279" s="177" t="s">
        <v>109</v>
      </c>
      <c r="K279" s="177" t="s">
        <v>662</v>
      </c>
      <c r="L279" s="177" t="s">
        <v>663</v>
      </c>
      <c r="M279" s="177" t="s">
        <v>109</v>
      </c>
      <c r="N279" s="177" t="s">
        <v>109</v>
      </c>
      <c r="O279" s="180">
        <v>45669</v>
      </c>
      <c r="P279" s="177" t="s">
        <v>109</v>
      </c>
      <c r="Q279" s="177" t="s">
        <v>109</v>
      </c>
      <c r="R279" s="177" t="s">
        <v>109</v>
      </c>
      <c r="S279" s="177" t="s">
        <v>109</v>
      </c>
      <c r="T279" s="177" t="s">
        <v>404</v>
      </c>
      <c r="U279" s="177" t="s">
        <v>117</v>
      </c>
      <c r="V279" s="177" t="b">
        <v>0</v>
      </c>
      <c r="W279" s="177" t="s">
        <v>109</v>
      </c>
      <c r="X279" s="261"/>
      <c r="Y279" s="177">
        <v>0.49947200000000003</v>
      </c>
      <c r="Z279" s="177" t="s">
        <v>118</v>
      </c>
      <c r="AA279" s="177">
        <v>69</v>
      </c>
      <c r="AB279" s="177" t="s">
        <v>109</v>
      </c>
      <c r="AC279" s="177">
        <v>1.2</v>
      </c>
      <c r="AD279" s="177" t="s">
        <v>2016</v>
      </c>
      <c r="AE279" s="177" t="s">
        <v>2017</v>
      </c>
      <c r="AF279" s="177">
        <v>1</v>
      </c>
      <c r="AG279" s="177">
        <v>20152</v>
      </c>
      <c r="AH279" s="177" t="s">
        <v>121</v>
      </c>
      <c r="AI279" s="177" t="b">
        <v>1</v>
      </c>
      <c r="AJ279" s="180">
        <v>45506</v>
      </c>
      <c r="AK279" s="177" t="s">
        <v>122</v>
      </c>
      <c r="AL279" s="177">
        <v>2020</v>
      </c>
      <c r="AM279" s="177" t="s">
        <v>109</v>
      </c>
      <c r="AN279" s="177" t="b">
        <v>0</v>
      </c>
      <c r="AO279" s="177" t="s">
        <v>109</v>
      </c>
      <c r="AP279" s="177" t="s">
        <v>109</v>
      </c>
      <c r="AQ279" s="177" t="s">
        <v>118</v>
      </c>
      <c r="AR279" s="177" t="b">
        <v>0</v>
      </c>
      <c r="AS279" s="177" t="s">
        <v>109</v>
      </c>
      <c r="AT279" s="180" t="s">
        <v>118</v>
      </c>
      <c r="AU279" s="177" t="s">
        <v>124</v>
      </c>
      <c r="AV279" s="177" t="s">
        <v>539</v>
      </c>
      <c r="AW279" s="177" t="s">
        <v>226</v>
      </c>
      <c r="AX279" s="177" t="s">
        <v>767</v>
      </c>
      <c r="AY279" s="177" t="s">
        <v>135</v>
      </c>
      <c r="AZ279" s="177" t="s">
        <v>109</v>
      </c>
      <c r="BA279" s="177" t="s">
        <v>494</v>
      </c>
      <c r="BB279" s="177">
        <v>2023</v>
      </c>
      <c r="BC279" s="177" t="s">
        <v>126</v>
      </c>
      <c r="BD279" s="177" t="s">
        <v>109</v>
      </c>
      <c r="BE279" s="180" t="s">
        <v>2018</v>
      </c>
      <c r="BF279" s="180" t="s">
        <v>2019</v>
      </c>
      <c r="BG279" s="180" t="s">
        <v>2020</v>
      </c>
      <c r="BH279" s="177" t="s">
        <v>138</v>
      </c>
      <c r="BI279" s="177" t="s">
        <v>109</v>
      </c>
      <c r="BJ279" s="177" t="b">
        <v>1</v>
      </c>
      <c r="BK279" s="233">
        <v>3977.80548</v>
      </c>
      <c r="BL279" s="234" t="s">
        <v>128</v>
      </c>
      <c r="BM279" s="254">
        <v>2953.9169999999999</v>
      </c>
      <c r="BN279" s="254">
        <v>0.85439999999999994</v>
      </c>
      <c r="BO279" s="254">
        <v>140.182006</v>
      </c>
      <c r="BP279" s="254">
        <v>218.27148560000001</v>
      </c>
      <c r="BQ279" s="254">
        <v>631.0719077</v>
      </c>
      <c r="BR279" s="254">
        <v>1777.3783080000001</v>
      </c>
      <c r="BS279" s="254">
        <v>41.357429999999994</v>
      </c>
      <c r="BT279" s="254">
        <v>144.8011812</v>
      </c>
      <c r="BU279" s="254">
        <v>0</v>
      </c>
      <c r="BV279" s="254">
        <v>0</v>
      </c>
      <c r="BW279" s="254">
        <v>0</v>
      </c>
      <c r="BX279" s="254">
        <v>0</v>
      </c>
      <c r="BY279" s="255">
        <v>0</v>
      </c>
      <c r="BZ279" s="236" t="s">
        <v>109</v>
      </c>
      <c r="CA279" s="236" t="s">
        <v>109</v>
      </c>
      <c r="CB279" s="256" t="s">
        <v>154</v>
      </c>
      <c r="CC279" s="254">
        <v>0</v>
      </c>
      <c r="CD279" s="254">
        <v>0</v>
      </c>
      <c r="CE279" s="254">
        <v>0</v>
      </c>
      <c r="CF279" s="254">
        <v>990.37979929999995</v>
      </c>
      <c r="CG279" s="254">
        <v>1777.3783080000001</v>
      </c>
      <c r="CH279" s="254">
        <v>41.357429999999994</v>
      </c>
      <c r="CI279" s="254">
        <v>144.8011812</v>
      </c>
      <c r="CJ279" s="237">
        <v>0</v>
      </c>
      <c r="CK279" s="177" t="s">
        <v>128</v>
      </c>
      <c r="CL279" s="177">
        <v>0.32</v>
      </c>
      <c r="CM279" s="155" t="s">
        <v>109</v>
      </c>
      <c r="CN279" s="229">
        <v>0</v>
      </c>
      <c r="CO279" s="229">
        <v>1</v>
      </c>
      <c r="CP279" t="s">
        <v>337</v>
      </c>
      <c r="CR279" s="248"/>
    </row>
    <row r="280" spans="1:96" ht="14.4" x14ac:dyDescent="0.3">
      <c r="A280">
        <v>277</v>
      </c>
      <c r="B280" s="173" t="s">
        <v>2021</v>
      </c>
      <c r="C280" s="259"/>
      <c r="D280" s="260"/>
      <c r="E280" t="s">
        <v>329</v>
      </c>
      <c r="F280" t="s">
        <v>2022</v>
      </c>
      <c r="G280" s="177" t="s">
        <v>111</v>
      </c>
      <c r="H280" s="177" t="s">
        <v>113</v>
      </c>
      <c r="I280" s="177" t="s">
        <v>109</v>
      </c>
      <c r="J280" s="177" t="s">
        <v>109</v>
      </c>
      <c r="K280" s="177" t="s">
        <v>114</v>
      </c>
      <c r="L280" s="177" t="s">
        <v>251</v>
      </c>
      <c r="M280" s="177" t="s">
        <v>109</v>
      </c>
      <c r="N280" s="177" t="s">
        <v>109</v>
      </c>
      <c r="O280" s="180">
        <v>45779</v>
      </c>
      <c r="P280" s="177" t="s">
        <v>2023</v>
      </c>
      <c r="Q280" s="177" t="s">
        <v>109</v>
      </c>
      <c r="R280" s="177" t="s">
        <v>1052</v>
      </c>
      <c r="S280" s="177" t="s">
        <v>109</v>
      </c>
      <c r="T280" s="177" t="s">
        <v>116</v>
      </c>
      <c r="U280" s="177" t="s">
        <v>117</v>
      </c>
      <c r="V280" s="177" t="b">
        <v>0</v>
      </c>
      <c r="W280" s="177" t="s">
        <v>109</v>
      </c>
      <c r="X280" s="261"/>
      <c r="Y280" s="177" t="s">
        <v>118</v>
      </c>
      <c r="Z280" s="176">
        <v>0.79</v>
      </c>
      <c r="AA280" s="177">
        <v>69</v>
      </c>
      <c r="AB280" s="177" t="s">
        <v>373</v>
      </c>
      <c r="AC280" s="177">
        <v>4.0999999999999996</v>
      </c>
      <c r="AD280" s="177" t="s">
        <v>2024</v>
      </c>
      <c r="AE280" s="177" t="s">
        <v>2025</v>
      </c>
      <c r="AF280" s="177">
        <v>1</v>
      </c>
      <c r="AG280" s="177">
        <v>20242</v>
      </c>
      <c r="AH280" s="177" t="s">
        <v>121</v>
      </c>
      <c r="AI280" s="177" t="b">
        <v>1</v>
      </c>
      <c r="AJ280" s="180">
        <v>45775</v>
      </c>
      <c r="AK280" s="177" t="s">
        <v>122</v>
      </c>
      <c r="AL280" s="177">
        <v>2020</v>
      </c>
      <c r="AM280" s="177" t="s">
        <v>109</v>
      </c>
      <c r="AN280" s="177" t="b">
        <v>0</v>
      </c>
      <c r="AO280" s="177" t="s">
        <v>109</v>
      </c>
      <c r="AP280" s="177" t="s">
        <v>109</v>
      </c>
      <c r="AQ280" s="177" t="s">
        <v>118</v>
      </c>
      <c r="AR280" s="177" t="b">
        <v>0</v>
      </c>
      <c r="AS280" s="177" t="s">
        <v>123</v>
      </c>
      <c r="AT280" s="180" t="s">
        <v>123</v>
      </c>
      <c r="AU280" s="177" t="s">
        <v>124</v>
      </c>
      <c r="AV280" s="177" t="s">
        <v>109</v>
      </c>
      <c r="AW280" s="177" t="s">
        <v>118</v>
      </c>
      <c r="AX280" s="177" t="s">
        <v>118</v>
      </c>
      <c r="AY280" s="177" t="s">
        <v>135</v>
      </c>
      <c r="AZ280" s="177" t="s">
        <v>109</v>
      </c>
      <c r="BA280" s="177" t="s">
        <v>125</v>
      </c>
      <c r="BB280" s="177" t="s">
        <v>109</v>
      </c>
      <c r="BC280" s="177" t="s">
        <v>150</v>
      </c>
      <c r="BD280" s="177" t="s">
        <v>109</v>
      </c>
      <c r="BE280" s="180" t="s">
        <v>416</v>
      </c>
      <c r="BF280" s="180" t="s">
        <v>2026</v>
      </c>
      <c r="BG280" s="180" t="s">
        <v>2027</v>
      </c>
      <c r="BH280" s="177" t="s">
        <v>138</v>
      </c>
      <c r="BI280" s="177" t="s">
        <v>109</v>
      </c>
      <c r="BJ280" s="177" t="b">
        <v>1</v>
      </c>
      <c r="BK280" s="233">
        <v>992.62079000000006</v>
      </c>
      <c r="BL280" s="234" t="s">
        <v>128</v>
      </c>
      <c r="BM280" s="233">
        <v>1596.82283324383</v>
      </c>
      <c r="BN280" s="233">
        <v>0</v>
      </c>
      <c r="BO280" s="233">
        <v>464.33106400000003</v>
      </c>
      <c r="BP280" s="233">
        <v>221.48034999999999</v>
      </c>
      <c r="BQ280" s="233">
        <v>199.47570300000001</v>
      </c>
      <c r="BR280" s="233">
        <v>494.72239400000001</v>
      </c>
      <c r="BS280" s="233">
        <v>152.28904600000001</v>
      </c>
      <c r="BT280" s="233">
        <v>64.524276200000003</v>
      </c>
      <c r="BU280" s="233">
        <v>0</v>
      </c>
      <c r="BV280" s="233">
        <v>0</v>
      </c>
      <c r="BW280" s="233">
        <v>0</v>
      </c>
      <c r="BX280" s="233">
        <v>0</v>
      </c>
      <c r="BY280" s="234">
        <v>1532</v>
      </c>
      <c r="BZ280" s="236" t="s">
        <v>109</v>
      </c>
      <c r="CA280" s="236" t="s">
        <v>109</v>
      </c>
      <c r="CB280" s="236" t="s">
        <v>196</v>
      </c>
      <c r="CC280" s="233">
        <v>0</v>
      </c>
      <c r="CD280" s="233">
        <v>0</v>
      </c>
      <c r="CE280" s="233">
        <v>0</v>
      </c>
      <c r="CF280" s="233">
        <v>0</v>
      </c>
      <c r="CG280" s="233">
        <v>3.3155209999999999</v>
      </c>
      <c r="CH280" s="233">
        <v>4.5600000000000003E-4</v>
      </c>
      <c r="CI280" s="233">
        <v>1593.5068561999999</v>
      </c>
      <c r="CJ280" s="237">
        <v>0</v>
      </c>
      <c r="CK280" s="177" t="s">
        <v>128</v>
      </c>
      <c r="CL280" s="177">
        <v>10.4</v>
      </c>
      <c r="CM280" s="155" t="s">
        <v>109</v>
      </c>
      <c r="CN280" s="229">
        <v>0</v>
      </c>
      <c r="CO280" s="229">
        <v>1</v>
      </c>
      <c r="CP280" t="s">
        <v>337</v>
      </c>
      <c r="CR280" s="248"/>
    </row>
    <row r="281" spans="1:96" ht="14.4" x14ac:dyDescent="0.3">
      <c r="A281">
        <v>278</v>
      </c>
      <c r="B281" s="173" t="s">
        <v>2028</v>
      </c>
      <c r="C281" s="259"/>
      <c r="D281" s="260"/>
      <c r="E281" t="s">
        <v>2029</v>
      </c>
      <c r="F281" t="s">
        <v>2030</v>
      </c>
      <c r="G281" s="177" t="s">
        <v>166</v>
      </c>
      <c r="H281" s="177" t="s">
        <v>146</v>
      </c>
      <c r="I281" s="177" t="s">
        <v>113</v>
      </c>
      <c r="J281" s="177" t="s">
        <v>109</v>
      </c>
      <c r="K281" s="177" t="s">
        <v>114</v>
      </c>
      <c r="L281" s="177" t="s">
        <v>393</v>
      </c>
      <c r="M281" s="177" t="s">
        <v>109</v>
      </c>
      <c r="N281" s="177" t="s">
        <v>109</v>
      </c>
      <c r="O281" s="180">
        <v>45791</v>
      </c>
      <c r="P281" s="177" t="s">
        <v>109</v>
      </c>
      <c r="Q281" s="177" t="s">
        <v>109</v>
      </c>
      <c r="R281" s="177" t="s">
        <v>725</v>
      </c>
      <c r="S281" s="177" t="s">
        <v>109</v>
      </c>
      <c r="T281" s="177" t="s">
        <v>116</v>
      </c>
      <c r="U281" s="177" t="s">
        <v>117</v>
      </c>
      <c r="V281" s="177" t="b">
        <v>0</v>
      </c>
      <c r="W281" s="177" t="s">
        <v>109</v>
      </c>
      <c r="X281" s="261"/>
      <c r="Y281" s="177" t="s">
        <v>109</v>
      </c>
      <c r="Z281" s="176">
        <v>1.38</v>
      </c>
      <c r="AA281" s="177" t="s">
        <v>1390</v>
      </c>
      <c r="AB281" s="177" t="s">
        <v>1554</v>
      </c>
      <c r="AC281" s="177">
        <v>4.0999999999999996</v>
      </c>
      <c r="AD281" s="177" t="s">
        <v>2031</v>
      </c>
      <c r="AE281" s="177" t="s">
        <v>2032</v>
      </c>
      <c r="AF281" s="177">
        <v>1</v>
      </c>
      <c r="AG281" s="177">
        <v>20244</v>
      </c>
      <c r="AH281" s="177" t="s">
        <v>121</v>
      </c>
      <c r="AI281" s="177" t="b">
        <v>1</v>
      </c>
      <c r="AJ281" s="180">
        <v>45589</v>
      </c>
      <c r="AK281" s="177" t="s">
        <v>122</v>
      </c>
      <c r="AL281" s="177">
        <v>2020</v>
      </c>
      <c r="AM281" s="177" t="s">
        <v>109</v>
      </c>
      <c r="AN281" s="177" t="b">
        <v>0</v>
      </c>
      <c r="AO281" s="177" t="s">
        <v>109</v>
      </c>
      <c r="AP281" s="177" t="s">
        <v>109</v>
      </c>
      <c r="AQ281" s="177" t="s">
        <v>118</v>
      </c>
      <c r="AR281" s="177" t="b">
        <v>0</v>
      </c>
      <c r="AS281" s="177" t="s">
        <v>123</v>
      </c>
      <c r="AT281" s="180" t="s">
        <v>123</v>
      </c>
      <c r="AU281" s="177" t="s">
        <v>124</v>
      </c>
      <c r="AV281" s="177" t="s">
        <v>109</v>
      </c>
      <c r="AW281" s="177" t="s">
        <v>118</v>
      </c>
      <c r="AX281" s="177" t="s">
        <v>118</v>
      </c>
      <c r="AY281" s="177" t="s">
        <v>135</v>
      </c>
      <c r="AZ281" s="177" t="s">
        <v>109</v>
      </c>
      <c r="BA281" s="177" t="s">
        <v>125</v>
      </c>
      <c r="BB281" s="177" t="s">
        <v>109</v>
      </c>
      <c r="BC281" s="177" t="s">
        <v>1002</v>
      </c>
      <c r="BD281" s="177" t="s">
        <v>109</v>
      </c>
      <c r="BE281" s="180" t="s">
        <v>2033</v>
      </c>
      <c r="BF281" s="180" t="s">
        <v>2034</v>
      </c>
      <c r="BG281" s="180" t="s">
        <v>2035</v>
      </c>
      <c r="BH281" s="177" t="s">
        <v>109</v>
      </c>
      <c r="BI281" s="177" t="s">
        <v>109</v>
      </c>
      <c r="BJ281" s="177" t="b">
        <v>0</v>
      </c>
      <c r="BK281" s="233">
        <v>4693.6589400000003</v>
      </c>
      <c r="BL281" s="234" t="s">
        <v>128</v>
      </c>
      <c r="BM281" s="254">
        <v>21145.449000000001</v>
      </c>
      <c r="BN281" s="254">
        <v>592.96031000000005</v>
      </c>
      <c r="BO281" s="254">
        <v>30.226588900000003</v>
      </c>
      <c r="BP281" s="254">
        <v>440.17862980000001</v>
      </c>
      <c r="BQ281" s="254">
        <v>1135.9573174999998</v>
      </c>
      <c r="BR281" s="254">
        <v>5398.2962860000007</v>
      </c>
      <c r="BS281" s="254">
        <v>1640.4169559999998</v>
      </c>
      <c r="BT281" s="254">
        <v>4769.8483575</v>
      </c>
      <c r="BU281" s="254">
        <v>3314.0984320000002</v>
      </c>
      <c r="BV281" s="254">
        <v>1956.3080786999999</v>
      </c>
      <c r="BW281" s="254">
        <v>1580.4136092000001</v>
      </c>
      <c r="BX281" s="254">
        <v>0</v>
      </c>
      <c r="BY281" s="255">
        <v>9524.7800000000007</v>
      </c>
      <c r="BZ281" s="236" t="s">
        <v>109</v>
      </c>
      <c r="CA281" s="236" t="s">
        <v>109</v>
      </c>
      <c r="CB281" s="236" t="s">
        <v>109</v>
      </c>
      <c r="CC281" s="254">
        <v>0</v>
      </c>
      <c r="CD281" s="254">
        <v>0</v>
      </c>
      <c r="CE281" s="254">
        <v>0</v>
      </c>
      <c r="CF281" s="254">
        <v>0</v>
      </c>
      <c r="CG281" s="254">
        <v>0</v>
      </c>
      <c r="CH281" s="254">
        <v>0</v>
      </c>
      <c r="CI281" s="254">
        <v>0</v>
      </c>
      <c r="CJ281" s="237">
        <v>0</v>
      </c>
      <c r="CK281" s="177" t="s">
        <v>128</v>
      </c>
      <c r="CL281" s="177">
        <v>7.7</v>
      </c>
      <c r="CM281" s="155" t="s">
        <v>109</v>
      </c>
      <c r="CN281" s="229">
        <v>0</v>
      </c>
      <c r="CO281" s="229">
        <v>1</v>
      </c>
      <c r="CP281" t="s">
        <v>155</v>
      </c>
      <c r="CR281" s="248"/>
    </row>
    <row r="282" spans="1:96" ht="14.4" x14ac:dyDescent="0.3">
      <c r="A282">
        <v>279</v>
      </c>
      <c r="B282" s="173" t="s">
        <v>2036</v>
      </c>
      <c r="C282" s="259"/>
      <c r="D282" s="260"/>
      <c r="E282" t="s">
        <v>329</v>
      </c>
      <c r="F282" t="s">
        <v>2037</v>
      </c>
      <c r="G282" s="177" t="s">
        <v>111</v>
      </c>
      <c r="H282" s="177" t="s">
        <v>113</v>
      </c>
      <c r="I282" s="177" t="s">
        <v>275</v>
      </c>
      <c r="J282" s="177" t="s">
        <v>109</v>
      </c>
      <c r="K282" s="177" t="s">
        <v>114</v>
      </c>
      <c r="L282" s="177" t="s">
        <v>159</v>
      </c>
      <c r="M282" s="177" t="s">
        <v>194</v>
      </c>
      <c r="N282" s="177" t="s">
        <v>109</v>
      </c>
      <c r="O282" s="180">
        <v>45778</v>
      </c>
      <c r="P282" s="177" t="s">
        <v>2038</v>
      </c>
      <c r="Q282" s="177" t="s">
        <v>109</v>
      </c>
      <c r="R282" s="177" t="s">
        <v>109</v>
      </c>
      <c r="S282" s="177" t="s">
        <v>109</v>
      </c>
      <c r="T282" s="177" t="s">
        <v>116</v>
      </c>
      <c r="U282" s="177" t="s">
        <v>117</v>
      </c>
      <c r="V282" s="177" t="b">
        <v>0</v>
      </c>
      <c r="W282" s="177" t="s">
        <v>109</v>
      </c>
      <c r="X282" s="261"/>
      <c r="Y282" s="177" t="s">
        <v>118</v>
      </c>
      <c r="Z282" s="177">
        <v>0.3</v>
      </c>
      <c r="AA282" s="177">
        <v>69</v>
      </c>
      <c r="AB282" s="177" t="s">
        <v>2039</v>
      </c>
      <c r="AC282" s="177">
        <v>4.0999999999999996</v>
      </c>
      <c r="AD282" s="177" t="s">
        <v>2040</v>
      </c>
      <c r="AE282" s="177" t="s">
        <v>2041</v>
      </c>
      <c r="AF282" s="177">
        <v>1</v>
      </c>
      <c r="AG282" s="177">
        <v>20251</v>
      </c>
      <c r="AH282" s="177" t="s">
        <v>121</v>
      </c>
      <c r="AI282" s="177" t="b">
        <v>1</v>
      </c>
      <c r="AJ282" s="180">
        <v>45422</v>
      </c>
      <c r="AK282" s="177" t="s">
        <v>122</v>
      </c>
      <c r="AL282" s="177">
        <v>2020</v>
      </c>
      <c r="AM282" s="177" t="s">
        <v>109</v>
      </c>
      <c r="AN282" s="177" t="b">
        <v>0</v>
      </c>
      <c r="AO282" s="177" t="s">
        <v>109</v>
      </c>
      <c r="AP282" s="177" t="s">
        <v>109</v>
      </c>
      <c r="AQ282" s="177" t="s">
        <v>118</v>
      </c>
      <c r="AR282" s="177" t="s">
        <v>531</v>
      </c>
      <c r="AS282" s="177" t="s">
        <v>109</v>
      </c>
      <c r="AT282" s="180" t="s">
        <v>118</v>
      </c>
      <c r="AU282" s="177" t="s">
        <v>109</v>
      </c>
      <c r="AV282" s="177" t="s">
        <v>109</v>
      </c>
      <c r="AW282" s="177" t="s">
        <v>118</v>
      </c>
      <c r="AX282" s="177" t="s">
        <v>118</v>
      </c>
      <c r="AY282" s="177" t="s">
        <v>135</v>
      </c>
      <c r="AZ282" s="177" t="s">
        <v>109</v>
      </c>
      <c r="BA282" s="177" t="s">
        <v>218</v>
      </c>
      <c r="BB282" s="177" t="s">
        <v>118</v>
      </c>
      <c r="BC282" s="177" t="s">
        <v>126</v>
      </c>
      <c r="BD282" s="177" t="s">
        <v>109</v>
      </c>
      <c r="BE282" s="180" t="s">
        <v>2042</v>
      </c>
      <c r="BF282" s="180" t="s">
        <v>127</v>
      </c>
      <c r="BG282" s="180" t="s">
        <v>2043</v>
      </c>
      <c r="BH282" s="177" t="s">
        <v>459</v>
      </c>
      <c r="BI282" s="177" t="s">
        <v>521</v>
      </c>
      <c r="BJ282" s="177" t="b">
        <v>1</v>
      </c>
      <c r="BK282" s="233">
        <v>6659.3356700000004</v>
      </c>
      <c r="BL282" s="234" t="s">
        <v>128</v>
      </c>
      <c r="BM282" s="254">
        <v>10083.388999999999</v>
      </c>
      <c r="BN282" s="254">
        <v>203.46172860000001</v>
      </c>
      <c r="BO282" s="254">
        <v>1836.4477746999999</v>
      </c>
      <c r="BP282" s="254">
        <v>1386.0173023000002</v>
      </c>
      <c r="BQ282" s="254">
        <v>3480.4104683999994</v>
      </c>
      <c r="BR282" s="254">
        <v>1834.791704</v>
      </c>
      <c r="BS282" s="254">
        <v>789.45220399999994</v>
      </c>
      <c r="BT282" s="254">
        <v>552.80735199999992</v>
      </c>
      <c r="BU282" s="254">
        <v>0</v>
      </c>
      <c r="BV282" s="254">
        <v>0</v>
      </c>
      <c r="BW282" s="254">
        <v>0</v>
      </c>
      <c r="BX282" s="254">
        <v>0</v>
      </c>
      <c r="BY282" s="255">
        <v>0</v>
      </c>
      <c r="BZ282" s="236" t="s">
        <v>109</v>
      </c>
      <c r="CA282" s="236" t="s">
        <v>109</v>
      </c>
      <c r="CB282" s="256" t="s">
        <v>139</v>
      </c>
      <c r="CC282" s="254">
        <v>0</v>
      </c>
      <c r="CD282" s="254">
        <v>0</v>
      </c>
      <c r="CE282" s="254">
        <v>704.90135999999995</v>
      </c>
      <c r="CF282" s="254">
        <v>13.38133</v>
      </c>
      <c r="CG282" s="254">
        <v>7245.8921879999998</v>
      </c>
      <c r="CH282" s="254">
        <v>1566.4063040000001</v>
      </c>
      <c r="CI282" s="254">
        <v>552.80735199999992</v>
      </c>
      <c r="CJ282" s="237">
        <v>0</v>
      </c>
      <c r="CK282" s="177" t="s">
        <v>128</v>
      </c>
      <c r="CL282" s="177">
        <v>17.3</v>
      </c>
      <c r="CM282" s="155" t="s">
        <v>109</v>
      </c>
      <c r="CN282" s="229">
        <v>0</v>
      </c>
      <c r="CO282" s="229">
        <v>1</v>
      </c>
      <c r="CP282" t="s">
        <v>449</v>
      </c>
      <c r="CR282" s="248"/>
    </row>
    <row r="283" spans="1:96" ht="14.4" x14ac:dyDescent="0.3">
      <c r="A283">
        <v>280</v>
      </c>
      <c r="B283" s="173" t="s">
        <v>2044</v>
      </c>
      <c r="C283" s="259"/>
      <c r="D283" s="260"/>
      <c r="E283" t="s">
        <v>329</v>
      </c>
      <c r="F283" t="s">
        <v>2045</v>
      </c>
      <c r="G283" s="177" t="s">
        <v>166</v>
      </c>
      <c r="H283" s="177" t="s">
        <v>146</v>
      </c>
      <c r="I283" s="177" t="s">
        <v>113</v>
      </c>
      <c r="J283" s="177" t="s">
        <v>109</v>
      </c>
      <c r="K283" s="177" t="s">
        <v>114</v>
      </c>
      <c r="L283" s="177" t="s">
        <v>393</v>
      </c>
      <c r="M283" s="177" t="s">
        <v>109</v>
      </c>
      <c r="N283" s="177" t="s">
        <v>109</v>
      </c>
      <c r="O283" s="180">
        <v>45749</v>
      </c>
      <c r="P283" s="177" t="s">
        <v>2046</v>
      </c>
      <c r="Q283" s="177" t="s">
        <v>109</v>
      </c>
      <c r="R283" s="177" t="s">
        <v>725</v>
      </c>
      <c r="S283" s="177" t="s">
        <v>109</v>
      </c>
      <c r="T283" s="177" t="s">
        <v>116</v>
      </c>
      <c r="U283" s="177" t="s">
        <v>117</v>
      </c>
      <c r="V283" s="177" t="b">
        <v>1</v>
      </c>
      <c r="W283" s="177" t="s">
        <v>109</v>
      </c>
      <c r="X283" s="261"/>
      <c r="Y283" s="177" t="s">
        <v>109</v>
      </c>
      <c r="Z283" s="176">
        <v>1.73</v>
      </c>
      <c r="AA283" s="177" t="s">
        <v>1390</v>
      </c>
      <c r="AB283" s="177" t="s">
        <v>1554</v>
      </c>
      <c r="AC283" s="177">
        <v>4.0999999999999996</v>
      </c>
      <c r="AD283" s="177" t="s">
        <v>2047</v>
      </c>
      <c r="AE283" s="177" t="s">
        <v>2048</v>
      </c>
      <c r="AF283" s="177">
        <v>1</v>
      </c>
      <c r="AG283" s="177">
        <v>20264</v>
      </c>
      <c r="AH283" s="177" t="s">
        <v>121</v>
      </c>
      <c r="AI283" s="177" t="b">
        <v>1</v>
      </c>
      <c r="AJ283" s="180">
        <v>45027</v>
      </c>
      <c r="AK283" s="177" t="s">
        <v>122</v>
      </c>
      <c r="AL283" s="177">
        <v>2020</v>
      </c>
      <c r="AM283" s="177" t="s">
        <v>109</v>
      </c>
      <c r="AN283" s="177" t="b">
        <v>0</v>
      </c>
      <c r="AO283" s="177" t="s">
        <v>109</v>
      </c>
      <c r="AP283" s="177" t="s">
        <v>109</v>
      </c>
      <c r="AQ283" s="177" t="s">
        <v>118</v>
      </c>
      <c r="AR283" s="177" t="b">
        <v>0</v>
      </c>
      <c r="AS283" s="177" t="s">
        <v>123</v>
      </c>
      <c r="AT283" s="180" t="s">
        <v>123</v>
      </c>
      <c r="AU283" s="177" t="s">
        <v>124</v>
      </c>
      <c r="AV283" s="177" t="s">
        <v>109</v>
      </c>
      <c r="AW283" s="177" t="s">
        <v>118</v>
      </c>
      <c r="AX283" s="177" t="s">
        <v>118</v>
      </c>
      <c r="AY283" s="177" t="s">
        <v>135</v>
      </c>
      <c r="AZ283" s="177" t="s">
        <v>109</v>
      </c>
      <c r="BA283" s="177" t="s">
        <v>125</v>
      </c>
      <c r="BB283" s="177" t="s">
        <v>109</v>
      </c>
      <c r="BC283" s="177" t="s">
        <v>296</v>
      </c>
      <c r="BD283" s="177" t="s">
        <v>109</v>
      </c>
      <c r="BE283" s="180" t="s">
        <v>1030</v>
      </c>
      <c r="BF283" s="180" t="s">
        <v>1463</v>
      </c>
      <c r="BG283" s="180" t="s">
        <v>1558</v>
      </c>
      <c r="BH283" s="177" t="s">
        <v>109</v>
      </c>
      <c r="BI283" s="177" t="s">
        <v>109</v>
      </c>
      <c r="BJ283" s="177" t="b">
        <v>0</v>
      </c>
      <c r="BK283" s="233">
        <v>3291.3584599999999</v>
      </c>
      <c r="BL283" s="234" t="s">
        <v>128</v>
      </c>
      <c r="BM283" s="254">
        <v>4130.701</v>
      </c>
      <c r="BN283" s="254">
        <v>77.034539999999993</v>
      </c>
      <c r="BO283" s="254">
        <v>37.847809999999996</v>
      </c>
      <c r="BP283" s="254">
        <v>24.33803</v>
      </c>
      <c r="BQ283" s="254">
        <v>21.111249999999998</v>
      </c>
      <c r="BR283" s="254">
        <v>0</v>
      </c>
      <c r="BS283" s="254">
        <v>0</v>
      </c>
      <c r="BT283" s="254">
        <v>0</v>
      </c>
      <c r="BU283" s="254">
        <v>0</v>
      </c>
      <c r="BV283" s="254">
        <v>0</v>
      </c>
      <c r="BW283" s="254">
        <v>0</v>
      </c>
      <c r="BX283" s="254">
        <v>0</v>
      </c>
      <c r="BY283" s="255">
        <v>4130.701</v>
      </c>
      <c r="BZ283" s="236" t="s">
        <v>109</v>
      </c>
      <c r="CA283" s="236" t="s">
        <v>109</v>
      </c>
      <c r="CB283" s="236" t="s">
        <v>109</v>
      </c>
      <c r="CC283" s="254">
        <v>0</v>
      </c>
      <c r="CD283" s="254">
        <v>0</v>
      </c>
      <c r="CE283" s="254">
        <v>0</v>
      </c>
      <c r="CF283" s="254">
        <v>0</v>
      </c>
      <c r="CG283" s="254">
        <v>0</v>
      </c>
      <c r="CH283" s="254">
        <v>0</v>
      </c>
      <c r="CI283" s="254">
        <v>0</v>
      </c>
      <c r="CJ283" s="237">
        <v>0</v>
      </c>
      <c r="CK283" s="177" t="s">
        <v>128</v>
      </c>
      <c r="CL283" s="177">
        <v>1.9</v>
      </c>
      <c r="CM283" s="155" t="s">
        <v>109</v>
      </c>
      <c r="CN283" s="229">
        <v>0</v>
      </c>
      <c r="CO283" s="229">
        <v>1</v>
      </c>
      <c r="CP283" t="s">
        <v>155</v>
      </c>
      <c r="CR283" s="248"/>
    </row>
    <row r="284" spans="1:96" ht="14.4" x14ac:dyDescent="0.3">
      <c r="A284">
        <v>281</v>
      </c>
      <c r="B284" s="173" t="s">
        <v>2050</v>
      </c>
      <c r="C284" s="259"/>
      <c r="D284" s="260"/>
      <c r="E284" t="s">
        <v>1731</v>
      </c>
      <c r="F284" t="s">
        <v>2051</v>
      </c>
      <c r="G284" s="177" t="s">
        <v>233</v>
      </c>
      <c r="H284" s="177" t="s">
        <v>109</v>
      </c>
      <c r="I284" s="177" t="s">
        <v>109</v>
      </c>
      <c r="J284" s="177" t="s">
        <v>109</v>
      </c>
      <c r="K284" s="177" t="s">
        <v>662</v>
      </c>
      <c r="L284" s="177" t="s">
        <v>303</v>
      </c>
      <c r="M284" s="177" t="s">
        <v>194</v>
      </c>
      <c r="N284" s="177" t="s">
        <v>109</v>
      </c>
      <c r="O284" s="180" t="s">
        <v>109</v>
      </c>
      <c r="P284" s="177" t="s">
        <v>917</v>
      </c>
      <c r="Q284" s="177" t="s">
        <v>109</v>
      </c>
      <c r="R284" s="177" t="s">
        <v>109</v>
      </c>
      <c r="S284" s="177" t="s">
        <v>109</v>
      </c>
      <c r="T284" s="177" t="s">
        <v>285</v>
      </c>
      <c r="U284" s="177" t="s">
        <v>117</v>
      </c>
      <c r="V284" s="177" t="b">
        <v>0</v>
      </c>
      <c r="W284" s="177" t="s">
        <v>109</v>
      </c>
      <c r="X284" s="261"/>
      <c r="Y284" s="177" t="s">
        <v>118</v>
      </c>
      <c r="Z284" s="177" t="s">
        <v>118</v>
      </c>
      <c r="AA284" s="177" t="s">
        <v>119</v>
      </c>
      <c r="AB284" s="177" t="s">
        <v>109</v>
      </c>
      <c r="AC284" s="177">
        <v>1.2</v>
      </c>
      <c r="AD284" s="177" t="s">
        <v>109</v>
      </c>
      <c r="AE284" s="177" t="s">
        <v>2052</v>
      </c>
      <c r="AF284" s="177">
        <v>2</v>
      </c>
      <c r="AG284" s="177">
        <v>20277</v>
      </c>
      <c r="AH284" s="177" t="s">
        <v>121</v>
      </c>
      <c r="AI284" s="177" t="b">
        <v>1</v>
      </c>
      <c r="AJ284" s="180">
        <v>45589</v>
      </c>
      <c r="AK284" s="177" t="s">
        <v>122</v>
      </c>
      <c r="AL284" s="177" t="s">
        <v>109</v>
      </c>
      <c r="AM284" s="177" t="s">
        <v>109</v>
      </c>
      <c r="AN284" s="177" t="b">
        <v>0</v>
      </c>
      <c r="AO284" s="177" t="s">
        <v>109</v>
      </c>
      <c r="AP284" s="177" t="s">
        <v>109</v>
      </c>
      <c r="AQ284" s="177" t="s">
        <v>118</v>
      </c>
      <c r="AR284" s="177" t="b">
        <v>1</v>
      </c>
      <c r="AS284" s="177" t="s">
        <v>123</v>
      </c>
      <c r="AT284" s="180" t="s">
        <v>123</v>
      </c>
      <c r="AU284" s="177" t="s">
        <v>124</v>
      </c>
      <c r="AV284" s="177" t="s">
        <v>109</v>
      </c>
      <c r="AW284" s="177" t="s">
        <v>118</v>
      </c>
      <c r="AX284" s="177" t="s">
        <v>118</v>
      </c>
      <c r="AY284" s="177" t="s">
        <v>109</v>
      </c>
      <c r="AZ284" s="177" t="s">
        <v>109</v>
      </c>
      <c r="BA284" s="177" t="s">
        <v>125</v>
      </c>
      <c r="BB284" s="177" t="s">
        <v>118</v>
      </c>
      <c r="BC284" s="177" t="s">
        <v>699</v>
      </c>
      <c r="BD284" s="177" t="s">
        <v>109</v>
      </c>
      <c r="BE284" s="180" t="s">
        <v>2053</v>
      </c>
      <c r="BF284" s="180" t="s">
        <v>2019</v>
      </c>
      <c r="BG284" s="180" t="s">
        <v>2054</v>
      </c>
      <c r="BH284" s="177" t="s">
        <v>698</v>
      </c>
      <c r="BI284" s="177" t="s">
        <v>109</v>
      </c>
      <c r="BJ284" s="177" t="b">
        <v>1</v>
      </c>
      <c r="BK284" s="233">
        <v>28561.627</v>
      </c>
      <c r="BL284" s="234" t="s">
        <v>128</v>
      </c>
      <c r="BM284" s="254">
        <v>5317.7169999999996</v>
      </c>
      <c r="BN284" s="254">
        <v>1254.5796425999999</v>
      </c>
      <c r="BO284" s="254">
        <v>1917.2812404000001</v>
      </c>
      <c r="BP284" s="254">
        <v>376.76743089999997</v>
      </c>
      <c r="BQ284" s="254">
        <v>290.88350579999997</v>
      </c>
      <c r="BR284" s="254">
        <v>461.5290134</v>
      </c>
      <c r="BS284" s="254">
        <v>69.744556900000006</v>
      </c>
      <c r="BT284" s="254">
        <v>389.23147590000002</v>
      </c>
      <c r="BU284" s="254">
        <v>557.70017960000007</v>
      </c>
      <c r="BV284" s="254">
        <v>0</v>
      </c>
      <c r="BW284" s="254">
        <v>0</v>
      </c>
      <c r="BX284" s="254">
        <v>0</v>
      </c>
      <c r="BY284" s="255">
        <v>4370.7849999999999</v>
      </c>
      <c r="BZ284" s="236" t="s">
        <v>109</v>
      </c>
      <c r="CA284" s="236" t="s">
        <v>109</v>
      </c>
      <c r="CB284" s="256" t="s">
        <v>139</v>
      </c>
      <c r="CC284" s="254">
        <v>0</v>
      </c>
      <c r="CD284" s="254">
        <v>0</v>
      </c>
      <c r="CE284" s="254">
        <v>35.087339200000002</v>
      </c>
      <c r="CF284" s="254">
        <v>18.1184802</v>
      </c>
      <c r="CG284" s="254">
        <v>67.164043000000007</v>
      </c>
      <c r="CH284" s="254">
        <v>-5.9306854999999992</v>
      </c>
      <c r="CI284" s="254">
        <v>4645.5776889000008</v>
      </c>
      <c r="CJ284" s="237">
        <v>0</v>
      </c>
      <c r="CK284" s="177" t="s">
        <v>128</v>
      </c>
      <c r="CL284" s="177">
        <v>17.899999999999999</v>
      </c>
      <c r="CM284" s="155" t="s">
        <v>109</v>
      </c>
      <c r="CN284" s="229">
        <v>0</v>
      </c>
      <c r="CO284" s="229">
        <v>1</v>
      </c>
      <c r="CP284" t="s">
        <v>2055</v>
      </c>
      <c r="CR284" s="248"/>
    </row>
    <row r="285" spans="1:96" ht="14.4" x14ac:dyDescent="0.3">
      <c r="A285">
        <v>282</v>
      </c>
      <c r="B285" s="173" t="s">
        <v>2057</v>
      </c>
      <c r="C285" s="259"/>
      <c r="D285" s="260"/>
      <c r="E285" t="s">
        <v>109</v>
      </c>
      <c r="F285" t="s">
        <v>2058</v>
      </c>
      <c r="G285" s="177" t="s">
        <v>233</v>
      </c>
      <c r="H285" s="177" t="s">
        <v>146</v>
      </c>
      <c r="I285" s="177" t="s">
        <v>109</v>
      </c>
      <c r="J285" s="177" t="s">
        <v>109</v>
      </c>
      <c r="K285" s="177" t="s">
        <v>662</v>
      </c>
      <c r="L285" s="177" t="s">
        <v>896</v>
      </c>
      <c r="M285" s="177" t="s">
        <v>194</v>
      </c>
      <c r="N285" s="177" t="s">
        <v>109</v>
      </c>
      <c r="O285" s="180" t="s">
        <v>109</v>
      </c>
      <c r="P285" s="177" t="s">
        <v>109</v>
      </c>
      <c r="Q285" s="177" t="s">
        <v>109</v>
      </c>
      <c r="R285" s="177" t="s">
        <v>109</v>
      </c>
      <c r="S285" s="177" t="s">
        <v>109</v>
      </c>
      <c r="T285" s="177" t="s">
        <v>285</v>
      </c>
      <c r="U285" s="177" t="s">
        <v>918</v>
      </c>
      <c r="V285" s="177" t="b">
        <v>0</v>
      </c>
      <c r="W285" s="177" t="s">
        <v>109</v>
      </c>
      <c r="X285" s="261"/>
      <c r="Y285" s="177" t="s">
        <v>118</v>
      </c>
      <c r="Z285" s="177" t="s">
        <v>118</v>
      </c>
      <c r="AA285" s="177">
        <v>12</v>
      </c>
      <c r="AB285" s="177" t="s">
        <v>109</v>
      </c>
      <c r="AC285" s="177">
        <v>1.2</v>
      </c>
      <c r="AD285" s="177" t="s">
        <v>119</v>
      </c>
      <c r="AE285" s="177" t="s">
        <v>2059</v>
      </c>
      <c r="AF285" s="177">
        <v>349</v>
      </c>
      <c r="AG285" s="177">
        <v>20284</v>
      </c>
      <c r="AH285" s="177" t="s">
        <v>121</v>
      </c>
      <c r="AI285" s="177" t="b">
        <v>1</v>
      </c>
      <c r="AJ285" s="180">
        <v>44217</v>
      </c>
      <c r="AK285" s="177" t="s">
        <v>122</v>
      </c>
      <c r="AL285" s="177" t="s">
        <v>109</v>
      </c>
      <c r="AM285" s="177" t="s">
        <v>109</v>
      </c>
      <c r="AN285" s="177" t="b">
        <v>0</v>
      </c>
      <c r="AO285" s="177" t="s">
        <v>109</v>
      </c>
      <c r="AP285" s="177" t="s">
        <v>109</v>
      </c>
      <c r="AQ285" s="177" t="s">
        <v>118</v>
      </c>
      <c r="AR285" s="177" t="b">
        <v>0</v>
      </c>
      <c r="AS285" s="177" t="s">
        <v>109</v>
      </c>
      <c r="AT285" s="180" t="s">
        <v>118</v>
      </c>
      <c r="AU285" s="177" t="s">
        <v>124</v>
      </c>
      <c r="AV285" s="177" t="s">
        <v>109</v>
      </c>
      <c r="AW285" s="177" t="s">
        <v>226</v>
      </c>
      <c r="AX285" s="177" t="s">
        <v>118</v>
      </c>
      <c r="AY285" s="177" t="s">
        <v>2060</v>
      </c>
      <c r="AZ285" s="177" t="s">
        <v>109</v>
      </c>
      <c r="BA285" s="177" t="s">
        <v>125</v>
      </c>
      <c r="BB285" s="177" t="s">
        <v>109</v>
      </c>
      <c r="BC285" s="177" t="s">
        <v>863</v>
      </c>
      <c r="BD285" s="177" t="s">
        <v>109</v>
      </c>
      <c r="BE285" s="180" t="s">
        <v>109</v>
      </c>
      <c r="BF285" s="180" t="s">
        <v>227</v>
      </c>
      <c r="BG285" s="180" t="s">
        <v>119</v>
      </c>
      <c r="BH285" s="177" t="s">
        <v>109</v>
      </c>
      <c r="BI285" s="177" t="s">
        <v>109</v>
      </c>
      <c r="BJ285" s="177" t="b">
        <v>1</v>
      </c>
      <c r="BK285" s="233" t="s">
        <v>118</v>
      </c>
      <c r="BL285" s="234" t="s">
        <v>128</v>
      </c>
      <c r="BM285" s="233">
        <f>6714.84831856033-BM286</f>
        <v>3164.4284583573299</v>
      </c>
      <c r="BN285" s="235">
        <f>1814.3043647-BN286</f>
        <v>807.02532039999994</v>
      </c>
      <c r="BO285" s="235">
        <f>1468.7249995-BO286</f>
        <v>358.09979040000007</v>
      </c>
      <c r="BP285" s="235">
        <f>957.5954675-BP286</f>
        <v>133.51554590000001</v>
      </c>
      <c r="BQ285" s="235">
        <f>336.4665086-BQ286</f>
        <v>42.651712299999986</v>
      </c>
      <c r="BR285" s="235">
        <f>52.489506-BR286</f>
        <v>52.489505999999999</v>
      </c>
      <c r="BS285" s="235">
        <f>6.147642-BS286</f>
        <v>6.1476420000000003</v>
      </c>
      <c r="BT285" s="235">
        <f>1.0220246-BT286</f>
        <v>1.0220245999999999</v>
      </c>
      <c r="BU285" s="235">
        <f>0-BU286</f>
        <v>0</v>
      </c>
      <c r="BV285" s="235">
        <f>0-BV286</f>
        <v>0</v>
      </c>
      <c r="BW285" s="235">
        <f>0-BW286</f>
        <v>0</v>
      </c>
      <c r="BX285" s="235">
        <f>0-BX286</f>
        <v>0</v>
      </c>
      <c r="BY285" s="234">
        <v>0</v>
      </c>
      <c r="BZ285" s="236" t="s">
        <v>109</v>
      </c>
      <c r="CA285" s="236" t="s">
        <v>109</v>
      </c>
      <c r="CB285" s="236" t="s">
        <v>129</v>
      </c>
      <c r="CC285" s="235">
        <f>646.8978266-CC286</f>
        <v>646.89782660000003</v>
      </c>
      <c r="CD285" s="235">
        <f>924.6158841-CD286</f>
        <v>924.61588410000002</v>
      </c>
      <c r="CE285" s="235">
        <f>124.5996587-CE286</f>
        <v>124.59965870000001</v>
      </c>
      <c r="CF285" s="235">
        <f>3601.2296764-CF286</f>
        <v>50.809816199999659</v>
      </c>
      <c r="CG285" s="235">
        <f>16.216314-CG286</f>
        <v>16.216314000000001</v>
      </c>
      <c r="CH285" s="235">
        <f>4.34432-CH286</f>
        <v>4.3443199999999997</v>
      </c>
      <c r="CI285" s="235">
        <f>16.2743718-CI286</f>
        <v>16.274371800000001</v>
      </c>
      <c r="CJ285" s="237">
        <v>0</v>
      </c>
      <c r="CK285" s="177" t="s">
        <v>128</v>
      </c>
      <c r="CL285" s="177" t="s">
        <v>128</v>
      </c>
      <c r="CM285" s="155" t="s">
        <v>109</v>
      </c>
      <c r="CN285" s="229">
        <v>0</v>
      </c>
      <c r="CO285" s="229">
        <v>1</v>
      </c>
      <c r="CP285" t="s">
        <v>2061</v>
      </c>
      <c r="CR285" s="248"/>
    </row>
    <row r="286" spans="1:96" ht="14.4" x14ac:dyDescent="0.3">
      <c r="A286">
        <v>283</v>
      </c>
      <c r="B286" s="173" t="s">
        <v>2062</v>
      </c>
      <c r="C286" s="259"/>
      <c r="D286" s="260"/>
      <c r="E286" t="s">
        <v>191</v>
      </c>
      <c r="F286" t="s">
        <v>2063</v>
      </c>
      <c r="G286" s="177" t="s">
        <v>233</v>
      </c>
      <c r="H286" s="177" t="s">
        <v>146</v>
      </c>
      <c r="I286" s="177" t="s">
        <v>109</v>
      </c>
      <c r="J286" s="177" t="s">
        <v>109</v>
      </c>
      <c r="K286" s="177" t="s">
        <v>662</v>
      </c>
      <c r="L286" s="177" t="s">
        <v>896</v>
      </c>
      <c r="M286" s="177" t="s">
        <v>194</v>
      </c>
      <c r="N286" s="177" t="s">
        <v>109</v>
      </c>
      <c r="O286" s="180" t="s">
        <v>109</v>
      </c>
      <c r="P286" s="177" t="s">
        <v>109</v>
      </c>
      <c r="Q286" s="177" t="s">
        <v>109</v>
      </c>
      <c r="R286" s="177" t="s">
        <v>109</v>
      </c>
      <c r="S286" s="177" t="s">
        <v>109</v>
      </c>
      <c r="T286" s="177" t="s">
        <v>285</v>
      </c>
      <c r="U286" s="177" t="s">
        <v>918</v>
      </c>
      <c r="V286" s="177" t="b">
        <v>0</v>
      </c>
      <c r="W286" s="177" t="s">
        <v>109</v>
      </c>
      <c r="X286" s="261"/>
      <c r="Y286" s="177" t="s">
        <v>118</v>
      </c>
      <c r="Z286" s="177" t="s">
        <v>118</v>
      </c>
      <c r="AA286" s="177" t="s">
        <v>2064</v>
      </c>
      <c r="AB286" s="177" t="s">
        <v>109</v>
      </c>
      <c r="AC286" s="177">
        <v>1.2</v>
      </c>
      <c r="AD286" s="177" t="s">
        <v>109</v>
      </c>
      <c r="AE286" s="177" t="s">
        <v>2059</v>
      </c>
      <c r="AF286" s="177">
        <v>1</v>
      </c>
      <c r="AG286" s="177">
        <v>20284</v>
      </c>
      <c r="AH286" s="177" t="s">
        <v>121</v>
      </c>
      <c r="AI286" s="177" t="b">
        <v>1</v>
      </c>
      <c r="AJ286" s="180">
        <v>43703</v>
      </c>
      <c r="AK286" s="177" t="s">
        <v>122</v>
      </c>
      <c r="AL286" s="177" t="s">
        <v>109</v>
      </c>
      <c r="AM286" s="177" t="s">
        <v>109</v>
      </c>
      <c r="AN286" s="177" t="b">
        <v>0</v>
      </c>
      <c r="AO286" s="177" t="s">
        <v>109</v>
      </c>
      <c r="AP286" s="177" t="s">
        <v>109</v>
      </c>
      <c r="AQ286" s="177" t="s">
        <v>109</v>
      </c>
      <c r="AR286" s="177" t="b">
        <v>0</v>
      </c>
      <c r="AS286" s="177" t="s">
        <v>109</v>
      </c>
      <c r="AT286" s="180" t="s">
        <v>118</v>
      </c>
      <c r="AU286" s="177" t="s">
        <v>109</v>
      </c>
      <c r="AV286" s="177" t="s">
        <v>109</v>
      </c>
      <c r="AW286" s="177" t="s">
        <v>109</v>
      </c>
      <c r="AX286" s="177" t="s">
        <v>109</v>
      </c>
      <c r="AY286" s="177" t="s">
        <v>2060</v>
      </c>
      <c r="AZ286" s="177" t="s">
        <v>109</v>
      </c>
      <c r="BA286" s="177" t="s">
        <v>125</v>
      </c>
      <c r="BB286" s="177" t="s">
        <v>109</v>
      </c>
      <c r="BC286" s="177" t="s">
        <v>863</v>
      </c>
      <c r="BD286" s="177" t="s">
        <v>109</v>
      </c>
      <c r="BE286" s="180" t="s">
        <v>153</v>
      </c>
      <c r="BF286" s="180" t="s">
        <v>152</v>
      </c>
      <c r="BG286" s="180" t="s">
        <v>153</v>
      </c>
      <c r="BH286" s="177" t="s">
        <v>246</v>
      </c>
      <c r="BI286" s="177" t="s">
        <v>240</v>
      </c>
      <c r="BJ286" s="177" t="b">
        <v>0</v>
      </c>
      <c r="BK286" s="233">
        <v>24956.77</v>
      </c>
      <c r="BL286" s="234" t="s">
        <v>128</v>
      </c>
      <c r="BM286" s="233">
        <v>3550.4198602030001</v>
      </c>
      <c r="BN286" s="233">
        <v>1007.2790443</v>
      </c>
      <c r="BO286" s="233">
        <v>1110.6252090999999</v>
      </c>
      <c r="BP286" s="233">
        <v>824.07992160000003</v>
      </c>
      <c r="BQ286" s="233">
        <v>293.81479630000001</v>
      </c>
      <c r="BR286" s="233">
        <v>0</v>
      </c>
      <c r="BS286" s="233">
        <v>0</v>
      </c>
      <c r="BT286" s="233">
        <v>0</v>
      </c>
      <c r="BU286" s="233">
        <v>0</v>
      </c>
      <c r="BV286" s="233">
        <v>0</v>
      </c>
      <c r="BW286" s="233">
        <v>0</v>
      </c>
      <c r="BX286" s="233">
        <v>0</v>
      </c>
      <c r="BY286" s="234">
        <v>0</v>
      </c>
      <c r="BZ286" s="236" t="s">
        <v>109</v>
      </c>
      <c r="CA286" s="236" t="s">
        <v>109</v>
      </c>
      <c r="CB286" s="236">
        <v>2023</v>
      </c>
      <c r="CC286" s="233">
        <v>0</v>
      </c>
      <c r="CD286" s="233">
        <v>0</v>
      </c>
      <c r="CE286" s="233">
        <v>0</v>
      </c>
      <c r="CF286" s="233">
        <v>3550.4198602000001</v>
      </c>
      <c r="CG286" s="233">
        <v>0</v>
      </c>
      <c r="CH286" s="233">
        <v>0</v>
      </c>
      <c r="CI286" s="233">
        <v>0</v>
      </c>
      <c r="CJ286" s="237">
        <v>0</v>
      </c>
      <c r="CK286" s="177" t="s">
        <v>128</v>
      </c>
      <c r="CL286" s="177" t="s">
        <v>128</v>
      </c>
      <c r="CM286" s="155" t="s">
        <v>109</v>
      </c>
      <c r="CN286" s="229">
        <v>0</v>
      </c>
      <c r="CO286" s="229">
        <v>1</v>
      </c>
      <c r="CP286" t="s">
        <v>2065</v>
      </c>
      <c r="CR286" s="248"/>
    </row>
    <row r="287" spans="1:96" ht="14.4" x14ac:dyDescent="0.3">
      <c r="A287">
        <v>284</v>
      </c>
      <c r="B287" s="173" t="s">
        <v>2066</v>
      </c>
      <c r="C287" s="259"/>
      <c r="D287" s="260"/>
      <c r="E287" t="s">
        <v>109</v>
      </c>
      <c r="F287" t="s">
        <v>2067</v>
      </c>
      <c r="G287" s="177" t="s">
        <v>233</v>
      </c>
      <c r="H287" s="177" t="s">
        <v>146</v>
      </c>
      <c r="I287" s="177" t="s">
        <v>109</v>
      </c>
      <c r="J287" s="177" t="s">
        <v>109</v>
      </c>
      <c r="K287" s="177" t="s">
        <v>662</v>
      </c>
      <c r="L287" s="177" t="s">
        <v>896</v>
      </c>
      <c r="M287" s="177" t="s">
        <v>194</v>
      </c>
      <c r="N287" s="177" t="s">
        <v>109</v>
      </c>
      <c r="O287" s="180" t="s">
        <v>109</v>
      </c>
      <c r="P287" s="177" t="s">
        <v>109</v>
      </c>
      <c r="Q287" s="177" t="s">
        <v>109</v>
      </c>
      <c r="R287" s="177" t="s">
        <v>109</v>
      </c>
      <c r="S287" s="177" t="s">
        <v>109</v>
      </c>
      <c r="T287" s="177" t="s">
        <v>285</v>
      </c>
      <c r="U287" s="177" t="s">
        <v>918</v>
      </c>
      <c r="V287" s="177" t="b">
        <v>0</v>
      </c>
      <c r="W287" s="177" t="s">
        <v>109</v>
      </c>
      <c r="X287" s="261"/>
      <c r="Y287" s="177" t="s">
        <v>118</v>
      </c>
      <c r="Z287" s="177" t="s">
        <v>118</v>
      </c>
      <c r="AA287" s="177" t="s">
        <v>119</v>
      </c>
      <c r="AB287" s="177" t="s">
        <v>109</v>
      </c>
      <c r="AC287" s="177">
        <v>1.2</v>
      </c>
      <c r="AD287" s="177" t="s">
        <v>119</v>
      </c>
      <c r="AE287" s="177" t="s">
        <v>2068</v>
      </c>
      <c r="AF287" s="177">
        <v>9</v>
      </c>
      <c r="AG287" s="177">
        <v>20285</v>
      </c>
      <c r="AH287" s="177" t="s">
        <v>121</v>
      </c>
      <c r="AI287" s="177" t="b">
        <v>1</v>
      </c>
      <c r="AJ287" s="180">
        <v>45642</v>
      </c>
      <c r="AK287" s="177" t="s">
        <v>122</v>
      </c>
      <c r="AL287" s="177">
        <v>2021</v>
      </c>
      <c r="AM287" s="177" t="s">
        <v>109</v>
      </c>
      <c r="AN287" s="177" t="b">
        <v>0</v>
      </c>
      <c r="AO287" s="177" t="s">
        <v>109</v>
      </c>
      <c r="AP287" s="177" t="s">
        <v>109</v>
      </c>
      <c r="AQ287" s="177" t="s">
        <v>109</v>
      </c>
      <c r="AR287" s="177" t="b">
        <v>0</v>
      </c>
      <c r="AS287" s="177" t="s">
        <v>109</v>
      </c>
      <c r="AT287" s="180" t="s">
        <v>118</v>
      </c>
      <c r="AU287" s="177" t="s">
        <v>109</v>
      </c>
      <c r="AV287" s="177" t="s">
        <v>109</v>
      </c>
      <c r="AW287" s="177" t="s">
        <v>109</v>
      </c>
      <c r="AX287" s="177" t="s">
        <v>109</v>
      </c>
      <c r="AY287" s="177" t="s">
        <v>135</v>
      </c>
      <c r="AZ287" s="177" t="s">
        <v>109</v>
      </c>
      <c r="BA287" s="177" t="s">
        <v>125</v>
      </c>
      <c r="BB287" s="177" t="s">
        <v>109</v>
      </c>
      <c r="BC287" s="177" t="s">
        <v>863</v>
      </c>
      <c r="BD287" s="177" t="s">
        <v>109</v>
      </c>
      <c r="BE287" s="180" t="s">
        <v>109</v>
      </c>
      <c r="BF287" s="180" t="s">
        <v>227</v>
      </c>
      <c r="BG287" s="180" t="s">
        <v>119</v>
      </c>
      <c r="BH287" s="177" t="s">
        <v>109</v>
      </c>
      <c r="BI287" s="177" t="s">
        <v>109</v>
      </c>
      <c r="BJ287" s="177" t="b">
        <v>1</v>
      </c>
      <c r="BK287" s="233" t="s">
        <v>118</v>
      </c>
      <c r="BL287" s="234" t="s">
        <v>128</v>
      </c>
      <c r="BM287" s="233">
        <f>3648.14100866368-BM288</f>
        <v>746.45709451400035</v>
      </c>
      <c r="BN287" s="235">
        <f>13.728072-BN288</f>
        <v>5.7953338999999993</v>
      </c>
      <c r="BO287" s="235">
        <f>247.0733208-BO288</f>
        <v>26.182972599999999</v>
      </c>
      <c r="BP287" s="235">
        <f>656.2467022-BP288</f>
        <v>140.90857029999995</v>
      </c>
      <c r="BQ287" s="235">
        <f>854.9812915-BQ288</f>
        <v>203.24837130000003</v>
      </c>
      <c r="BR287" s="235">
        <f>1148.412486-BR288</f>
        <v>124.45948599999997</v>
      </c>
      <c r="BS287" s="235">
        <f>340.506572-BS288</f>
        <v>42.060578000000021</v>
      </c>
      <c r="BT287" s="235">
        <f>183.3907817-BT288</f>
        <v>0</v>
      </c>
      <c r="BU287" s="235">
        <f>64.4259-BU288</f>
        <v>64.425899999999999</v>
      </c>
      <c r="BV287" s="235">
        <f>42.76098-BV288</f>
        <v>42.760980000000004</v>
      </c>
      <c r="BW287" s="235">
        <f>48.9572969-BW288</f>
        <v>48.957296900000003</v>
      </c>
      <c r="BX287" s="235">
        <f>47.6403289-BX288</f>
        <v>47.6403289</v>
      </c>
      <c r="BY287" s="234">
        <v>0</v>
      </c>
      <c r="BZ287" s="236" t="s">
        <v>109</v>
      </c>
      <c r="CA287" s="236" t="s">
        <v>109</v>
      </c>
      <c r="CB287" s="236" t="s">
        <v>129</v>
      </c>
      <c r="CC287" s="235">
        <f>3.235517-CC288</f>
        <v>3.2355170000000002</v>
      </c>
      <c r="CD287" s="235">
        <f>28.7600661-CD288</f>
        <v>28.7600661</v>
      </c>
      <c r="CE287" s="235">
        <f>134.7848906-CE288</f>
        <v>134.78489060000001</v>
      </c>
      <c r="CF287" s="235">
        <f>164.841769-CF288</f>
        <v>164.841769</v>
      </c>
      <c r="CG287" s="235">
        <f>139.6660672-CG288</f>
        <v>139.66606719999999</v>
      </c>
      <c r="CH287" s="235">
        <f>25.108432-CH288</f>
        <v>25.108432000000001</v>
      </c>
      <c r="CI287" s="235">
        <f>2901.6839141-CI288</f>
        <v>0</v>
      </c>
      <c r="CJ287" s="237">
        <v>0</v>
      </c>
      <c r="CK287" s="177" t="s">
        <v>128</v>
      </c>
      <c r="CL287" s="177" t="s">
        <v>128</v>
      </c>
      <c r="CM287" s="155" t="s">
        <v>109</v>
      </c>
      <c r="CN287" s="229">
        <v>0</v>
      </c>
      <c r="CO287" s="229">
        <v>1</v>
      </c>
      <c r="CP287" t="s">
        <v>2069</v>
      </c>
      <c r="CR287" s="248"/>
    </row>
    <row r="288" spans="1:96" ht="14.4" x14ac:dyDescent="0.3">
      <c r="A288">
        <v>285</v>
      </c>
      <c r="B288" s="173" t="s">
        <v>2070</v>
      </c>
      <c r="C288" s="259"/>
      <c r="D288" s="260"/>
      <c r="E288" t="s">
        <v>191</v>
      </c>
      <c r="F288" t="s">
        <v>2067</v>
      </c>
      <c r="G288" s="177" t="s">
        <v>233</v>
      </c>
      <c r="H288" s="177" t="s">
        <v>146</v>
      </c>
      <c r="I288" s="177" t="s">
        <v>109</v>
      </c>
      <c r="J288" s="177" t="s">
        <v>109</v>
      </c>
      <c r="K288" s="177" t="s">
        <v>662</v>
      </c>
      <c r="L288" s="177" t="s">
        <v>896</v>
      </c>
      <c r="M288" s="177" t="s">
        <v>194</v>
      </c>
      <c r="N288" s="177" t="s">
        <v>109</v>
      </c>
      <c r="O288" s="180" t="s">
        <v>109</v>
      </c>
      <c r="P288" s="177" t="s">
        <v>109</v>
      </c>
      <c r="Q288" s="177" t="s">
        <v>109</v>
      </c>
      <c r="R288" s="177" t="s">
        <v>109</v>
      </c>
      <c r="S288" s="177" t="s">
        <v>109</v>
      </c>
      <c r="T288" s="177" t="s">
        <v>285</v>
      </c>
      <c r="U288" s="177" t="s">
        <v>918</v>
      </c>
      <c r="V288" s="177" t="b">
        <v>0</v>
      </c>
      <c r="W288" s="177" t="s">
        <v>109</v>
      </c>
      <c r="X288" s="261"/>
      <c r="Y288" s="177" t="s">
        <v>118</v>
      </c>
      <c r="Z288" s="177" t="s">
        <v>118</v>
      </c>
      <c r="AA288" s="177">
        <v>12</v>
      </c>
      <c r="AB288" s="177" t="s">
        <v>109</v>
      </c>
      <c r="AC288" s="177">
        <v>1.2</v>
      </c>
      <c r="AD288" s="177" t="s">
        <v>109</v>
      </c>
      <c r="AE288" s="177" t="s">
        <v>2068</v>
      </c>
      <c r="AF288" s="177">
        <v>1</v>
      </c>
      <c r="AG288" s="177">
        <v>20285</v>
      </c>
      <c r="AH288" s="177" t="s">
        <v>121</v>
      </c>
      <c r="AI288" s="177" t="b">
        <v>1</v>
      </c>
      <c r="AJ288" s="180">
        <v>44091</v>
      </c>
      <c r="AK288" s="177" t="s">
        <v>122</v>
      </c>
      <c r="AL288" s="177">
        <v>2021</v>
      </c>
      <c r="AM288" s="177" t="s">
        <v>109</v>
      </c>
      <c r="AN288" s="177" t="b">
        <v>0</v>
      </c>
      <c r="AO288" s="177" t="s">
        <v>109</v>
      </c>
      <c r="AP288" s="177" t="s">
        <v>109</v>
      </c>
      <c r="AQ288" s="177" t="s">
        <v>109</v>
      </c>
      <c r="AR288" s="177" t="b">
        <v>0</v>
      </c>
      <c r="AS288" s="177" t="s">
        <v>109</v>
      </c>
      <c r="AT288" s="180" t="s">
        <v>118</v>
      </c>
      <c r="AU288" s="177" t="s">
        <v>109</v>
      </c>
      <c r="AV288" s="177" t="s">
        <v>109</v>
      </c>
      <c r="AW288" s="177" t="s">
        <v>109</v>
      </c>
      <c r="AX288" s="177" t="s">
        <v>109</v>
      </c>
      <c r="AY288" s="177" t="s">
        <v>2060</v>
      </c>
      <c r="AZ288" s="177" t="s">
        <v>109</v>
      </c>
      <c r="BA288" s="177" t="s">
        <v>125</v>
      </c>
      <c r="BB288" s="177" t="s">
        <v>109</v>
      </c>
      <c r="BC288" s="177" t="s">
        <v>863</v>
      </c>
      <c r="BD288" s="177" t="s">
        <v>109</v>
      </c>
      <c r="BE288" s="180" t="s">
        <v>109</v>
      </c>
      <c r="BF288" s="180" t="s">
        <v>227</v>
      </c>
      <c r="BG288" s="180">
        <v>46022</v>
      </c>
      <c r="BH288" s="177" t="s">
        <v>109</v>
      </c>
      <c r="BI288" s="177" t="s">
        <v>109</v>
      </c>
      <c r="BJ288" s="177" t="b">
        <v>1</v>
      </c>
      <c r="BK288" s="233">
        <v>306.63094000000001</v>
      </c>
      <c r="BL288" s="234" t="s">
        <v>128</v>
      </c>
      <c r="BM288" s="233">
        <v>2901.6839141496798</v>
      </c>
      <c r="BN288" s="233">
        <v>7.9327380999999999</v>
      </c>
      <c r="BO288" s="233">
        <v>220.89034820000001</v>
      </c>
      <c r="BP288" s="233">
        <v>515.33813190000001</v>
      </c>
      <c r="BQ288" s="233">
        <v>651.73292019999997</v>
      </c>
      <c r="BR288" s="233">
        <v>1023.953</v>
      </c>
      <c r="BS288" s="233">
        <v>298.44599399999998</v>
      </c>
      <c r="BT288" s="233">
        <v>183.39078169999999</v>
      </c>
      <c r="BU288" s="233">
        <v>0</v>
      </c>
      <c r="BV288" s="233">
        <v>0</v>
      </c>
      <c r="BW288" s="233">
        <v>0</v>
      </c>
      <c r="BX288" s="233">
        <v>0</v>
      </c>
      <c r="BY288" s="234">
        <v>2718</v>
      </c>
      <c r="BZ288" s="236" t="s">
        <v>109</v>
      </c>
      <c r="CA288" s="236" t="s">
        <v>109</v>
      </c>
      <c r="CB288" s="236">
        <v>2025</v>
      </c>
      <c r="CC288" s="233">
        <v>0</v>
      </c>
      <c r="CD288" s="233">
        <v>0</v>
      </c>
      <c r="CE288" s="233">
        <v>0</v>
      </c>
      <c r="CF288" s="233">
        <v>0</v>
      </c>
      <c r="CG288" s="233">
        <v>0</v>
      </c>
      <c r="CH288" s="233">
        <v>0</v>
      </c>
      <c r="CI288" s="233">
        <v>2901.6839141</v>
      </c>
      <c r="CJ288" s="237">
        <v>0</v>
      </c>
      <c r="CK288" s="177" t="s">
        <v>128</v>
      </c>
      <c r="CL288" s="177" t="s">
        <v>128</v>
      </c>
      <c r="CM288" s="155" t="s">
        <v>109</v>
      </c>
      <c r="CN288" s="229">
        <v>0</v>
      </c>
      <c r="CO288" s="229">
        <v>1</v>
      </c>
      <c r="CP288" t="s">
        <v>2069</v>
      </c>
      <c r="CR288" s="248"/>
    </row>
    <row r="289" spans="1:96" ht="14.4" x14ac:dyDescent="0.3">
      <c r="A289">
        <v>286</v>
      </c>
      <c r="B289" s="173" t="s">
        <v>2072</v>
      </c>
      <c r="C289" s="259"/>
      <c r="D289" s="260"/>
      <c r="E289" t="s">
        <v>109</v>
      </c>
      <c r="F289" t="s">
        <v>2073</v>
      </c>
      <c r="G289" s="177" t="s">
        <v>233</v>
      </c>
      <c r="H289" s="177" t="s">
        <v>146</v>
      </c>
      <c r="I289" s="177" t="s">
        <v>109</v>
      </c>
      <c r="J289" s="177" t="s">
        <v>109</v>
      </c>
      <c r="K289" s="177" t="s">
        <v>662</v>
      </c>
      <c r="L289" s="177" t="s">
        <v>303</v>
      </c>
      <c r="M289" s="177" t="s">
        <v>109</v>
      </c>
      <c r="N289" s="177" t="s">
        <v>109</v>
      </c>
      <c r="O289" s="180" t="s">
        <v>109</v>
      </c>
      <c r="P289" s="177" t="s">
        <v>109</v>
      </c>
      <c r="Q289" s="177" t="s">
        <v>109</v>
      </c>
      <c r="R289" s="177" t="s">
        <v>109</v>
      </c>
      <c r="S289" s="177" t="s">
        <v>109</v>
      </c>
      <c r="T289" s="177" t="s">
        <v>2074</v>
      </c>
      <c r="U289" s="177" t="s">
        <v>117</v>
      </c>
      <c r="V289" s="177" t="b">
        <v>0</v>
      </c>
      <c r="W289" s="177" t="s">
        <v>109</v>
      </c>
      <c r="X289" s="261"/>
      <c r="Y289" s="177" t="s">
        <v>118</v>
      </c>
      <c r="Z289" s="177" t="s">
        <v>118</v>
      </c>
      <c r="AA289" s="177" t="s">
        <v>119</v>
      </c>
      <c r="AB289" s="177" t="s">
        <v>109</v>
      </c>
      <c r="AC289" s="177">
        <v>1.2</v>
      </c>
      <c r="AD289" s="177" t="s">
        <v>119</v>
      </c>
      <c r="AE289" s="177" t="s">
        <v>2075</v>
      </c>
      <c r="AF289" s="177">
        <v>3</v>
      </c>
      <c r="AG289" s="177">
        <v>20286</v>
      </c>
      <c r="AH289" s="177" t="s">
        <v>121</v>
      </c>
      <c r="AI289" s="177" t="b">
        <v>1</v>
      </c>
      <c r="AJ289" s="180">
        <v>45643</v>
      </c>
      <c r="AK289" s="177" t="s">
        <v>122</v>
      </c>
      <c r="AL289" s="177" t="s">
        <v>109</v>
      </c>
      <c r="AM289" s="177" t="s">
        <v>109</v>
      </c>
      <c r="AN289" s="177" t="b">
        <v>0</v>
      </c>
      <c r="AO289" s="177" t="s">
        <v>109</v>
      </c>
      <c r="AP289" s="177" t="s">
        <v>109</v>
      </c>
      <c r="AQ289" s="177" t="s">
        <v>118</v>
      </c>
      <c r="AR289" s="177" t="b">
        <v>0</v>
      </c>
      <c r="AS289" s="177" t="s">
        <v>123</v>
      </c>
      <c r="AT289" s="180" t="s">
        <v>123</v>
      </c>
      <c r="AU289" s="177" t="s">
        <v>109</v>
      </c>
      <c r="AV289" s="177" t="s">
        <v>109</v>
      </c>
      <c r="AW289" s="177" t="s">
        <v>118</v>
      </c>
      <c r="AX289" s="177" t="s">
        <v>118</v>
      </c>
      <c r="AY289" s="177" t="s">
        <v>109</v>
      </c>
      <c r="AZ289" s="177" t="s">
        <v>109</v>
      </c>
      <c r="BA289" s="177" t="s">
        <v>125</v>
      </c>
      <c r="BB289" s="177" t="s">
        <v>109</v>
      </c>
      <c r="BC289" s="177" t="s">
        <v>126</v>
      </c>
      <c r="BD289" s="177" t="s">
        <v>109</v>
      </c>
      <c r="BE289" s="180" t="s">
        <v>109</v>
      </c>
      <c r="BF289" s="180" t="s">
        <v>127</v>
      </c>
      <c r="BG289" s="180" t="s">
        <v>119</v>
      </c>
      <c r="BH289" s="177" t="s">
        <v>109</v>
      </c>
      <c r="BI289" s="177" t="s">
        <v>109</v>
      </c>
      <c r="BJ289" s="177" t="b">
        <v>1</v>
      </c>
      <c r="BK289" s="233" t="s">
        <v>118</v>
      </c>
      <c r="BL289" s="234" t="s">
        <v>128</v>
      </c>
      <c r="BM289" s="257">
        <v>1352.98</v>
      </c>
      <c r="BN289" s="257">
        <v>0</v>
      </c>
      <c r="BO289" s="257">
        <v>49.497599999999998</v>
      </c>
      <c r="BP289" s="257">
        <v>2.0165000000000001E-3</v>
      </c>
      <c r="BQ289" s="257">
        <v>0.61774260000000003</v>
      </c>
      <c r="BR289" s="257">
        <v>661.17749199999992</v>
      </c>
      <c r="BS289" s="257">
        <v>29.938672</v>
      </c>
      <c r="BT289" s="257">
        <v>269.38486039999998</v>
      </c>
      <c r="BU289" s="257">
        <v>342.36187489999998</v>
      </c>
      <c r="BV289" s="257">
        <v>0</v>
      </c>
      <c r="BW289" s="257">
        <v>0</v>
      </c>
      <c r="BX289" s="254">
        <v>0</v>
      </c>
      <c r="BY289" s="255">
        <v>0</v>
      </c>
      <c r="BZ289" s="236" t="s">
        <v>109</v>
      </c>
      <c r="CA289" s="236" t="s">
        <v>109</v>
      </c>
      <c r="CB289" s="236" t="s">
        <v>139</v>
      </c>
      <c r="CC289" s="257">
        <v>0</v>
      </c>
      <c r="CD289" s="257">
        <v>0</v>
      </c>
      <c r="CE289" s="257">
        <v>49.499616499999995</v>
      </c>
      <c r="CF289" s="257">
        <v>0.48684660000000002</v>
      </c>
      <c r="CG289" s="257">
        <v>442.03538400000002</v>
      </c>
      <c r="CH289" s="257">
        <v>21.955234000000001</v>
      </c>
      <c r="CI289" s="257">
        <v>496.64130239999997</v>
      </c>
      <c r="CJ289" s="237">
        <v>0</v>
      </c>
      <c r="CK289" s="177" t="s">
        <v>128</v>
      </c>
      <c r="CL289" s="177" t="s">
        <v>128</v>
      </c>
      <c r="CM289" s="155" t="s">
        <v>109</v>
      </c>
      <c r="CN289" s="229">
        <v>0</v>
      </c>
      <c r="CO289" s="229">
        <v>1</v>
      </c>
      <c r="CP289" t="s">
        <v>155</v>
      </c>
      <c r="CR289" s="248"/>
    </row>
    <row r="290" spans="1:96" ht="14.4" x14ac:dyDescent="0.3">
      <c r="A290">
        <v>287</v>
      </c>
      <c r="B290" s="173" t="s">
        <v>2077</v>
      </c>
      <c r="C290" s="259"/>
      <c r="D290" s="260"/>
      <c r="E290" t="s">
        <v>109</v>
      </c>
      <c r="F290" t="s">
        <v>2078</v>
      </c>
      <c r="G290" s="177" t="s">
        <v>233</v>
      </c>
      <c r="H290" s="177" t="s">
        <v>146</v>
      </c>
      <c r="I290" s="177" t="s">
        <v>146</v>
      </c>
      <c r="J290" s="177" t="s">
        <v>109</v>
      </c>
      <c r="K290" s="177" t="s">
        <v>662</v>
      </c>
      <c r="L290" s="177" t="s">
        <v>251</v>
      </c>
      <c r="M290" s="177" t="s">
        <v>194</v>
      </c>
      <c r="N290" s="177" t="s">
        <v>194</v>
      </c>
      <c r="O290" s="180" t="s">
        <v>109</v>
      </c>
      <c r="P290" s="177" t="s">
        <v>109</v>
      </c>
      <c r="Q290" s="177" t="s">
        <v>109</v>
      </c>
      <c r="R290" s="177" t="s">
        <v>109</v>
      </c>
      <c r="S290" s="177" t="s">
        <v>109</v>
      </c>
      <c r="T290" s="177" t="s">
        <v>2079</v>
      </c>
      <c r="U290" s="177" t="s">
        <v>918</v>
      </c>
      <c r="V290" s="177" t="b">
        <v>0</v>
      </c>
      <c r="W290" s="177" t="s">
        <v>109</v>
      </c>
      <c r="X290" s="261"/>
      <c r="Y290" s="177" t="s">
        <v>118</v>
      </c>
      <c r="Z290" s="177" t="s">
        <v>118</v>
      </c>
      <c r="AA290" s="177" t="s">
        <v>109</v>
      </c>
      <c r="AB290" s="177" t="s">
        <v>109</v>
      </c>
      <c r="AC290" s="177">
        <v>1.2</v>
      </c>
      <c r="AD290" s="177" t="s">
        <v>109</v>
      </c>
      <c r="AE290" s="177" t="s">
        <v>2075</v>
      </c>
      <c r="AF290" s="177">
        <v>1</v>
      </c>
      <c r="AG290" s="177">
        <v>20286</v>
      </c>
      <c r="AH290" s="177" t="s">
        <v>121</v>
      </c>
      <c r="AI290" s="177" t="b">
        <v>1</v>
      </c>
      <c r="AJ290" s="180">
        <v>43875</v>
      </c>
      <c r="AK290" s="177" t="s">
        <v>122</v>
      </c>
      <c r="AL290" s="177" t="s">
        <v>109</v>
      </c>
      <c r="AM290" s="177" t="s">
        <v>109</v>
      </c>
      <c r="AN290" s="177" t="b">
        <v>0</v>
      </c>
      <c r="AO290" s="177" t="s">
        <v>109</v>
      </c>
      <c r="AP290" s="177" t="s">
        <v>109</v>
      </c>
      <c r="AQ290" s="177" t="s">
        <v>109</v>
      </c>
      <c r="AR290" s="177" t="s">
        <v>2080</v>
      </c>
      <c r="AS290" s="177" t="s">
        <v>123</v>
      </c>
      <c r="AT290" s="180" t="s">
        <v>123</v>
      </c>
      <c r="AU290" s="177" t="s">
        <v>124</v>
      </c>
      <c r="AV290" s="177" t="s">
        <v>109</v>
      </c>
      <c r="AW290" s="177" t="s">
        <v>109</v>
      </c>
      <c r="AX290" s="177" t="s">
        <v>109</v>
      </c>
      <c r="AY290" s="177" t="s">
        <v>135</v>
      </c>
      <c r="AZ290" s="177" t="s">
        <v>109</v>
      </c>
      <c r="BA290" s="177" t="s">
        <v>218</v>
      </c>
      <c r="BB290" s="177" t="s">
        <v>109</v>
      </c>
      <c r="BC290" s="177" t="s">
        <v>322</v>
      </c>
      <c r="BD290" s="177" t="s">
        <v>109</v>
      </c>
      <c r="BE290" s="180" t="s">
        <v>109</v>
      </c>
      <c r="BF290" s="180" t="s">
        <v>453</v>
      </c>
      <c r="BG290" s="180">
        <v>45291</v>
      </c>
      <c r="BH290" s="177" t="s">
        <v>109</v>
      </c>
      <c r="BI290" s="177" t="s">
        <v>109</v>
      </c>
      <c r="BJ290" s="177" t="b">
        <v>1</v>
      </c>
      <c r="BK290" s="233">
        <v>818.02200000000005</v>
      </c>
      <c r="BL290" s="234" t="s">
        <v>128</v>
      </c>
      <c r="BM290" s="233">
        <v>3517.2649302632899</v>
      </c>
      <c r="BN290" s="233">
        <v>527.12624400000004</v>
      </c>
      <c r="BO290" s="233">
        <v>773.29667199999994</v>
      </c>
      <c r="BP290" s="233">
        <v>1314.0802736000001</v>
      </c>
      <c r="BQ290" s="233">
        <v>843.81869129999995</v>
      </c>
      <c r="BR290" s="233">
        <v>-189.26015079999999</v>
      </c>
      <c r="BS290" s="233">
        <v>0</v>
      </c>
      <c r="BT290" s="233">
        <v>106.3728</v>
      </c>
      <c r="BU290" s="233">
        <v>141.8304</v>
      </c>
      <c r="BV290" s="233">
        <v>0</v>
      </c>
      <c r="BW290" s="233">
        <v>0</v>
      </c>
      <c r="BX290" s="233">
        <v>0</v>
      </c>
      <c r="BY290" s="234">
        <v>3269</v>
      </c>
      <c r="BZ290" s="236" t="s">
        <v>109</v>
      </c>
      <c r="CA290" s="236" t="s">
        <v>109</v>
      </c>
      <c r="CB290" s="236" t="s">
        <v>196</v>
      </c>
      <c r="CC290" s="233">
        <v>0</v>
      </c>
      <c r="CD290" s="233">
        <v>0</v>
      </c>
      <c r="CE290" s="233">
        <v>0</v>
      </c>
      <c r="CF290" s="233">
        <v>0</v>
      </c>
      <c r="CG290" s="233">
        <v>3269.0617302999999</v>
      </c>
      <c r="CH290" s="233">
        <v>0</v>
      </c>
      <c r="CI290" s="233">
        <v>106.3728</v>
      </c>
      <c r="CJ290" s="237">
        <v>0</v>
      </c>
      <c r="CK290" s="177" t="s">
        <v>128</v>
      </c>
      <c r="CL290" s="177" t="s">
        <v>128</v>
      </c>
      <c r="CM290" s="155" t="s">
        <v>109</v>
      </c>
      <c r="CN290" s="229">
        <v>0</v>
      </c>
      <c r="CO290" s="229">
        <v>0</v>
      </c>
      <c r="CP290" t="s">
        <v>2081</v>
      </c>
      <c r="CR290" s="248"/>
    </row>
    <row r="291" spans="1:96" ht="14.4" x14ac:dyDescent="0.3">
      <c r="A291">
        <v>288</v>
      </c>
      <c r="B291" s="173" t="s">
        <v>2082</v>
      </c>
      <c r="C291" s="259"/>
      <c r="D291" s="260"/>
      <c r="E291" t="s">
        <v>410</v>
      </c>
      <c r="F291" t="s">
        <v>2083</v>
      </c>
      <c r="G291" s="177" t="s">
        <v>661</v>
      </c>
      <c r="H291" s="177" t="s">
        <v>146</v>
      </c>
      <c r="I291" s="177" t="s">
        <v>113</v>
      </c>
      <c r="J291" s="177" t="s">
        <v>109</v>
      </c>
      <c r="K291" s="177" t="s">
        <v>114</v>
      </c>
      <c r="L291" s="177" t="s">
        <v>663</v>
      </c>
      <c r="M291" s="177" t="s">
        <v>109</v>
      </c>
      <c r="N291" s="177" t="s">
        <v>109</v>
      </c>
      <c r="O291" s="180" t="s">
        <v>109</v>
      </c>
      <c r="P291" s="177" t="s">
        <v>109</v>
      </c>
      <c r="Q291" s="177" t="s">
        <v>109</v>
      </c>
      <c r="R291" s="177" t="s">
        <v>109</v>
      </c>
      <c r="S291" s="177" t="s">
        <v>109</v>
      </c>
      <c r="T291" s="177" t="s">
        <v>2084</v>
      </c>
      <c r="U291" s="177" t="s">
        <v>117</v>
      </c>
      <c r="V291" s="177" t="b">
        <v>0</v>
      </c>
      <c r="W291" s="177" t="s">
        <v>224</v>
      </c>
      <c r="X291" s="261"/>
      <c r="Y291" s="177" t="s">
        <v>118</v>
      </c>
      <c r="Z291" s="177" t="s">
        <v>118</v>
      </c>
      <c r="AA291" s="177" t="s">
        <v>119</v>
      </c>
      <c r="AB291" s="177" t="s">
        <v>109</v>
      </c>
      <c r="AC291" s="177">
        <v>1.2</v>
      </c>
      <c r="AD291" s="177" t="s">
        <v>119</v>
      </c>
      <c r="AE291" s="177" t="s">
        <v>2085</v>
      </c>
      <c r="AF291" s="177">
        <v>121</v>
      </c>
      <c r="AG291" s="177">
        <v>21134</v>
      </c>
      <c r="AH291" s="177" t="s">
        <v>121</v>
      </c>
      <c r="AI291" s="177" t="b">
        <v>1</v>
      </c>
      <c r="AJ291" s="180">
        <v>45642</v>
      </c>
      <c r="AK291" s="177" t="s">
        <v>122</v>
      </c>
      <c r="AL291" s="177" t="s">
        <v>109</v>
      </c>
      <c r="AM291" s="177" t="s">
        <v>109</v>
      </c>
      <c r="AN291" s="177" t="b">
        <v>0</v>
      </c>
      <c r="AO291" s="177" t="s">
        <v>109</v>
      </c>
      <c r="AP291" s="177" t="s">
        <v>109</v>
      </c>
      <c r="AQ291" s="177" t="s">
        <v>109</v>
      </c>
      <c r="AR291" s="177" t="b">
        <v>0</v>
      </c>
      <c r="AS291" s="177" t="s">
        <v>123</v>
      </c>
      <c r="AT291" s="180" t="s">
        <v>123</v>
      </c>
      <c r="AU291" s="177" t="s">
        <v>124</v>
      </c>
      <c r="AV291" s="177" t="s">
        <v>109</v>
      </c>
      <c r="AW291" s="177" t="s">
        <v>226</v>
      </c>
      <c r="AX291" s="177" t="s">
        <v>109</v>
      </c>
      <c r="AY291" s="177" t="s">
        <v>109</v>
      </c>
      <c r="AZ291" s="177" t="s">
        <v>109</v>
      </c>
      <c r="BA291" s="177" t="s">
        <v>125</v>
      </c>
      <c r="BB291" s="177" t="s">
        <v>109</v>
      </c>
      <c r="BC291" s="177" t="s">
        <v>126</v>
      </c>
      <c r="BD291" s="177" t="s">
        <v>109</v>
      </c>
      <c r="BE291" s="180" t="s">
        <v>109</v>
      </c>
      <c r="BF291" s="180" t="s">
        <v>127</v>
      </c>
      <c r="BG291" s="180" t="s">
        <v>119</v>
      </c>
      <c r="BH291" s="177" t="s">
        <v>109</v>
      </c>
      <c r="BI291" s="177" t="s">
        <v>109</v>
      </c>
      <c r="BJ291" s="177" t="b">
        <v>1</v>
      </c>
      <c r="BK291" s="233" t="s">
        <v>118</v>
      </c>
      <c r="BL291" s="234" t="s">
        <v>128</v>
      </c>
      <c r="BM291" s="233">
        <f>241792.204275751-SUM(BM292:BM298)</f>
        <v>233247.67183575098</v>
      </c>
      <c r="BN291" s="235">
        <f>1827.90912-SUM(BN292:BN298)</f>
        <v>1400.9220800000001</v>
      </c>
      <c r="BO291" s="235">
        <f>3744.39451-SUM(BO292:BO298)</f>
        <v>2865.8251500000001</v>
      </c>
      <c r="BP291" s="235">
        <f>8229.0381-SUM(BP292:BP298)</f>
        <v>6998.5762099999993</v>
      </c>
      <c r="BQ291" s="235">
        <f>12900.55473-SUM(BQ292:BQ298)</f>
        <v>9969.4542000000001</v>
      </c>
      <c r="BR291" s="235">
        <f>11110.315572-SUM(BR292:BR298)</f>
        <v>8975.7385119999999</v>
      </c>
      <c r="BS291" s="235">
        <f>1942.872204-SUM(BS292:BS298)</f>
        <v>1745.033684</v>
      </c>
      <c r="BT291" s="235">
        <f>12557.010543-SUM(BT292:BT298)</f>
        <v>12557.010543</v>
      </c>
      <c r="BU291" s="235">
        <f>15336.4094502-SUM(BU292:BU298)</f>
        <v>15336.409450200001</v>
      </c>
      <c r="BV291" s="235">
        <f>15136.1348293-SUM(BV292:BV298)</f>
        <v>15136.134829299999</v>
      </c>
      <c r="BW291" s="235">
        <f>16868.8648351-SUM(BW292:BW298)</f>
        <v>16868.864835100001</v>
      </c>
      <c r="BX291" s="235">
        <f>18523.5026835-SUM(BX292:BX298)</f>
        <v>18523.502683499999</v>
      </c>
      <c r="BY291" s="234">
        <v>11548.373609999999</v>
      </c>
      <c r="BZ291" s="236" t="s">
        <v>109</v>
      </c>
      <c r="CA291" s="236" t="s">
        <v>109</v>
      </c>
      <c r="CB291" s="236" t="s">
        <v>129</v>
      </c>
      <c r="CC291" s="235">
        <f>2266.94033-SUM(CC292:CC298)</f>
        <v>1143.0057199999999</v>
      </c>
      <c r="CD291" s="235">
        <f>2379.93636-SUM(CD292:CD298)</f>
        <v>2045.7707300000002</v>
      </c>
      <c r="CE291" s="235">
        <f>6086.10526-SUM(CE292:CE298)</f>
        <v>5851.3001899999999</v>
      </c>
      <c r="CF291" s="235">
        <f>9528.43868-SUM(CF292:CF298)</f>
        <v>8414.6504299999997</v>
      </c>
      <c r="CG291" s="235">
        <f>17295.756292-SUM(CG292:CG298)</f>
        <v>12777.846532</v>
      </c>
      <c r="CH291" s="235">
        <f>3357.973828-SUM(CH292:CH298)</f>
        <v>2021.5717480000003</v>
      </c>
      <c r="CI291" s="235">
        <f>142.69032-SUM(CI292:CI298)</f>
        <v>142.69032000000001</v>
      </c>
      <c r="CJ291" s="237">
        <v>0</v>
      </c>
      <c r="CK291" s="177" t="s">
        <v>128</v>
      </c>
      <c r="CL291" s="177">
        <v>1.8</v>
      </c>
      <c r="CM291" s="155" t="s">
        <v>109</v>
      </c>
      <c r="CN291" s="229">
        <v>0.13550000000000001</v>
      </c>
      <c r="CO291" s="229">
        <v>0.86450000000000005</v>
      </c>
      <c r="CP291" t="s">
        <v>2086</v>
      </c>
      <c r="CR291" s="248"/>
    </row>
    <row r="292" spans="1:96" ht="14.4" x14ac:dyDescent="0.3">
      <c r="A292">
        <v>289</v>
      </c>
      <c r="B292" s="173" t="s">
        <v>2087</v>
      </c>
      <c r="C292" s="259"/>
      <c r="D292" s="260"/>
      <c r="E292" t="s">
        <v>191</v>
      </c>
      <c r="F292" t="s">
        <v>2088</v>
      </c>
      <c r="G292" s="177" t="s">
        <v>688</v>
      </c>
      <c r="H292" s="177" t="s">
        <v>146</v>
      </c>
      <c r="I292" s="177" t="s">
        <v>109</v>
      </c>
      <c r="J292" s="177" t="s">
        <v>109</v>
      </c>
      <c r="K292" s="177" t="s">
        <v>114</v>
      </c>
      <c r="L292" s="177" t="s">
        <v>705</v>
      </c>
      <c r="M292" s="177" t="s">
        <v>109</v>
      </c>
      <c r="N292" s="177" t="s">
        <v>109</v>
      </c>
      <c r="O292" s="180">
        <v>45713</v>
      </c>
      <c r="P292" s="177" t="s">
        <v>2089</v>
      </c>
      <c r="Q292" s="177" t="s">
        <v>109</v>
      </c>
      <c r="R292" s="177" t="s">
        <v>109</v>
      </c>
      <c r="S292" s="177" t="s">
        <v>109</v>
      </c>
      <c r="T292" s="177" t="s">
        <v>404</v>
      </c>
      <c r="U292" s="177" t="s">
        <v>918</v>
      </c>
      <c r="V292" s="177" t="b">
        <v>0</v>
      </c>
      <c r="W292" s="177" t="s">
        <v>109</v>
      </c>
      <c r="X292" s="261"/>
      <c r="Y292" s="177">
        <v>0.3</v>
      </c>
      <c r="Z292" s="177" t="s">
        <v>109</v>
      </c>
      <c r="AA292" s="177">
        <v>69</v>
      </c>
      <c r="AB292" s="177" t="s">
        <v>109</v>
      </c>
      <c r="AC292" s="177">
        <v>1.2</v>
      </c>
      <c r="AD292" s="177" t="s">
        <v>2090</v>
      </c>
      <c r="AE292" s="177" t="s">
        <v>2085</v>
      </c>
      <c r="AF292" s="177">
        <v>1</v>
      </c>
      <c r="AG292" s="177">
        <v>21134</v>
      </c>
      <c r="AH292" s="177" t="s">
        <v>121</v>
      </c>
      <c r="AI292" s="177" t="b">
        <v>1</v>
      </c>
      <c r="AJ292" s="180" t="s">
        <v>2091</v>
      </c>
      <c r="AK292" s="177" t="s">
        <v>122</v>
      </c>
      <c r="AL292" s="177" t="s">
        <v>109</v>
      </c>
      <c r="AM292" s="177" t="s">
        <v>109</v>
      </c>
      <c r="AN292" s="177" t="b">
        <v>0</v>
      </c>
      <c r="AO292" s="177" t="s">
        <v>109</v>
      </c>
      <c r="AP292" s="177" t="s">
        <v>109</v>
      </c>
      <c r="AQ292" s="177" t="s">
        <v>109</v>
      </c>
      <c r="AR292" s="177" t="b">
        <v>0</v>
      </c>
      <c r="AS292" s="177" t="s">
        <v>123</v>
      </c>
      <c r="AT292" s="180" t="s">
        <v>123</v>
      </c>
      <c r="AU292" s="177" t="s">
        <v>124</v>
      </c>
      <c r="AV292" s="177" t="s">
        <v>109</v>
      </c>
      <c r="AW292" s="177" t="s">
        <v>109</v>
      </c>
      <c r="AX292" s="177" t="s">
        <v>109</v>
      </c>
      <c r="AY292" s="177" t="s">
        <v>135</v>
      </c>
      <c r="AZ292" s="177" t="s">
        <v>109</v>
      </c>
      <c r="BA292" s="177" t="s">
        <v>125</v>
      </c>
      <c r="BB292" s="177" t="s">
        <v>109</v>
      </c>
      <c r="BC292" s="177" t="s">
        <v>425</v>
      </c>
      <c r="BD292" s="177" t="s">
        <v>109</v>
      </c>
      <c r="BE292" s="180" t="s">
        <v>2092</v>
      </c>
      <c r="BF292" s="180" t="s">
        <v>540</v>
      </c>
      <c r="BG292" s="180" t="s">
        <v>2093</v>
      </c>
      <c r="BH292" s="177" t="s">
        <v>109</v>
      </c>
      <c r="BI292" s="177" t="s">
        <v>109</v>
      </c>
      <c r="BJ292" s="177" t="b">
        <v>1</v>
      </c>
      <c r="BK292" s="233">
        <v>1746.2787000000001</v>
      </c>
      <c r="BL292" s="234" t="s">
        <v>128</v>
      </c>
      <c r="BM292" s="233">
        <v>1527.76623</v>
      </c>
      <c r="BN292" s="233">
        <v>108.66757</v>
      </c>
      <c r="BO292" s="233">
        <v>331.37824999999998</v>
      </c>
      <c r="BP292" s="233">
        <v>234.80507</v>
      </c>
      <c r="BQ292" s="233">
        <v>274.59715</v>
      </c>
      <c r="BR292" s="233">
        <v>495.17628000000002</v>
      </c>
      <c r="BS292" s="233">
        <v>83.141909999999996</v>
      </c>
      <c r="BT292" s="233">
        <v>0</v>
      </c>
      <c r="BU292" s="233">
        <v>0</v>
      </c>
      <c r="BV292" s="233">
        <v>0</v>
      </c>
      <c r="BW292" s="233">
        <v>0</v>
      </c>
      <c r="BX292" s="233">
        <v>0</v>
      </c>
      <c r="BY292" s="234">
        <v>0</v>
      </c>
      <c r="BZ292" s="236" t="s">
        <v>109</v>
      </c>
      <c r="CA292" s="236" t="s">
        <v>109</v>
      </c>
      <c r="CB292" s="233" t="s">
        <v>129</v>
      </c>
      <c r="CC292" s="233">
        <v>108.66757</v>
      </c>
      <c r="CD292" s="233">
        <v>331.37824999999998</v>
      </c>
      <c r="CE292" s="233">
        <v>234.80507</v>
      </c>
      <c r="CF292" s="233">
        <v>274.59715</v>
      </c>
      <c r="CG292" s="233">
        <v>495.17628000000002</v>
      </c>
      <c r="CH292" s="233">
        <v>83.141909999999996</v>
      </c>
      <c r="CI292" s="233">
        <v>0</v>
      </c>
      <c r="CJ292" s="237">
        <v>0</v>
      </c>
      <c r="CK292" s="177" t="s">
        <v>128</v>
      </c>
      <c r="CL292" s="177" t="s">
        <v>128</v>
      </c>
      <c r="CM292" s="155" t="s">
        <v>109</v>
      </c>
      <c r="CN292" s="229">
        <v>0</v>
      </c>
      <c r="CO292" s="229">
        <v>1</v>
      </c>
      <c r="CP292" t="s">
        <v>155</v>
      </c>
      <c r="CR292" s="248"/>
    </row>
    <row r="293" spans="1:96" ht="14.4" x14ac:dyDescent="0.3">
      <c r="A293">
        <v>290</v>
      </c>
      <c r="B293" s="173" t="s">
        <v>2094</v>
      </c>
      <c r="C293" s="259"/>
      <c r="D293" s="260"/>
      <c r="E293" t="s">
        <v>761</v>
      </c>
      <c r="F293" t="s">
        <v>2095</v>
      </c>
      <c r="G293" s="177" t="s">
        <v>688</v>
      </c>
      <c r="H293" s="177" t="s">
        <v>146</v>
      </c>
      <c r="I293" s="177" t="s">
        <v>109</v>
      </c>
      <c r="J293" s="177" t="s">
        <v>109</v>
      </c>
      <c r="K293" s="177" t="s">
        <v>114</v>
      </c>
      <c r="L293" s="177" t="s">
        <v>705</v>
      </c>
      <c r="M293" s="177" t="s">
        <v>109</v>
      </c>
      <c r="N293" s="177" t="s">
        <v>109</v>
      </c>
      <c r="O293" s="180">
        <v>45332</v>
      </c>
      <c r="P293" s="177" t="s">
        <v>2096</v>
      </c>
      <c r="Q293" s="177" t="s">
        <v>109</v>
      </c>
      <c r="R293" s="177" t="s">
        <v>109</v>
      </c>
      <c r="S293" s="177" t="s">
        <v>109</v>
      </c>
      <c r="T293" s="177" t="s">
        <v>404</v>
      </c>
      <c r="U293" s="177" t="s">
        <v>918</v>
      </c>
      <c r="V293" s="177" t="b">
        <v>0</v>
      </c>
      <c r="W293" s="177" t="s">
        <v>109</v>
      </c>
      <c r="X293" s="261"/>
      <c r="Y293" s="177">
        <v>0.42</v>
      </c>
      <c r="Z293" s="177" t="s">
        <v>109</v>
      </c>
      <c r="AA293" s="177">
        <v>69</v>
      </c>
      <c r="AB293" s="177" t="s">
        <v>109</v>
      </c>
      <c r="AC293" s="177">
        <v>1.2</v>
      </c>
      <c r="AD293" s="177" t="s">
        <v>2097</v>
      </c>
      <c r="AE293" s="177" t="s">
        <v>2085</v>
      </c>
      <c r="AF293" s="177">
        <v>1</v>
      </c>
      <c r="AG293" s="177">
        <v>21134</v>
      </c>
      <c r="AH293" s="177" t="s">
        <v>121</v>
      </c>
      <c r="AI293" s="177" t="b">
        <v>1</v>
      </c>
      <c r="AJ293" s="180" t="s">
        <v>2098</v>
      </c>
      <c r="AK293" s="177" t="s">
        <v>122</v>
      </c>
      <c r="AL293" s="177" t="s">
        <v>109</v>
      </c>
      <c r="AM293" s="177" t="s">
        <v>109</v>
      </c>
      <c r="AN293" s="177" t="b">
        <v>0</v>
      </c>
      <c r="AO293" s="177" t="s">
        <v>109</v>
      </c>
      <c r="AP293" s="177" t="s">
        <v>109</v>
      </c>
      <c r="AQ293" s="177" t="s">
        <v>109</v>
      </c>
      <c r="AR293" s="177" t="b">
        <v>0</v>
      </c>
      <c r="AS293" s="177" t="s">
        <v>123</v>
      </c>
      <c r="AT293" s="180" t="s">
        <v>123</v>
      </c>
      <c r="AU293" s="177" t="s">
        <v>124</v>
      </c>
      <c r="AV293" s="177" t="s">
        <v>109</v>
      </c>
      <c r="AW293" s="177" t="s">
        <v>109</v>
      </c>
      <c r="AX293" s="177" t="s">
        <v>109</v>
      </c>
      <c r="AY293" s="177" t="s">
        <v>135</v>
      </c>
      <c r="AZ293" s="177" t="s">
        <v>109</v>
      </c>
      <c r="BA293" s="177" t="s">
        <v>125</v>
      </c>
      <c r="BB293" s="177" t="s">
        <v>109</v>
      </c>
      <c r="BC293" s="177" t="s">
        <v>126</v>
      </c>
      <c r="BD293" s="177" t="s">
        <v>109</v>
      </c>
      <c r="BE293" s="180" t="s">
        <v>1220</v>
      </c>
      <c r="BF293" s="180" t="s">
        <v>540</v>
      </c>
      <c r="BG293" s="180" t="s">
        <v>2099</v>
      </c>
      <c r="BH293" s="177" t="s">
        <v>109</v>
      </c>
      <c r="BI293" s="177" t="s">
        <v>109</v>
      </c>
      <c r="BJ293" s="177" t="b">
        <v>1</v>
      </c>
      <c r="BK293" s="233">
        <v>2013.33195</v>
      </c>
      <c r="BL293" s="234" t="s">
        <v>128</v>
      </c>
      <c r="BM293" s="233">
        <v>1356.7059200000001</v>
      </c>
      <c r="BN293" s="233">
        <v>79.089560000000006</v>
      </c>
      <c r="BO293" s="233">
        <v>198.28880000000001</v>
      </c>
      <c r="BP293" s="233">
        <v>243.34522000000001</v>
      </c>
      <c r="BQ293" s="233">
        <v>864.13036999999997</v>
      </c>
      <c r="BR293" s="233">
        <v>-33.735939999999999</v>
      </c>
      <c r="BS293" s="233">
        <v>5.5879099999999999</v>
      </c>
      <c r="BT293" s="233">
        <v>0</v>
      </c>
      <c r="BU293" s="233">
        <v>0</v>
      </c>
      <c r="BV293" s="233">
        <v>0</v>
      </c>
      <c r="BW293" s="233">
        <v>0</v>
      </c>
      <c r="BX293" s="233">
        <v>0</v>
      </c>
      <c r="BY293" s="234">
        <v>0</v>
      </c>
      <c r="BZ293" s="236" t="s">
        <v>109</v>
      </c>
      <c r="CA293" s="236" t="s">
        <v>109</v>
      </c>
      <c r="CB293" s="233" t="s">
        <v>196</v>
      </c>
      <c r="CC293" s="233">
        <v>0</v>
      </c>
      <c r="CD293" s="233">
        <v>0</v>
      </c>
      <c r="CE293" s="233">
        <v>0</v>
      </c>
      <c r="CF293" s="233">
        <v>0</v>
      </c>
      <c r="CG293" s="233">
        <v>1351.1180099999999</v>
      </c>
      <c r="CH293" s="233">
        <v>5.5879099999999999</v>
      </c>
      <c r="CI293" s="233">
        <v>0</v>
      </c>
      <c r="CJ293" s="237">
        <v>0</v>
      </c>
      <c r="CK293" s="177" t="s">
        <v>128</v>
      </c>
      <c r="CL293" s="177" t="s">
        <v>128</v>
      </c>
      <c r="CM293" s="155" t="s">
        <v>109</v>
      </c>
      <c r="CN293" s="229">
        <v>0</v>
      </c>
      <c r="CO293" s="229">
        <v>1</v>
      </c>
      <c r="CP293" t="s">
        <v>155</v>
      </c>
      <c r="CR293" s="248"/>
    </row>
    <row r="294" spans="1:96" ht="14.4" x14ac:dyDescent="0.3">
      <c r="A294">
        <v>291</v>
      </c>
      <c r="B294" s="173" t="s">
        <v>2100</v>
      </c>
      <c r="C294" s="259"/>
      <c r="D294" s="260"/>
      <c r="E294" t="s">
        <v>191</v>
      </c>
      <c r="F294" t="s">
        <v>2101</v>
      </c>
      <c r="G294" s="177" t="s">
        <v>688</v>
      </c>
      <c r="H294" s="177" t="s">
        <v>146</v>
      </c>
      <c r="I294" s="177" t="s">
        <v>109</v>
      </c>
      <c r="J294" s="177" t="s">
        <v>109</v>
      </c>
      <c r="K294" s="177" t="s">
        <v>114</v>
      </c>
      <c r="L294" s="177" t="s">
        <v>705</v>
      </c>
      <c r="M294" s="177" t="s">
        <v>109</v>
      </c>
      <c r="N294" s="177" t="s">
        <v>109</v>
      </c>
      <c r="O294" s="180">
        <v>45696</v>
      </c>
      <c r="P294" s="177" t="s">
        <v>2102</v>
      </c>
      <c r="Q294" s="177" t="s">
        <v>109</v>
      </c>
      <c r="R294" s="177" t="s">
        <v>109</v>
      </c>
      <c r="S294" s="177" t="s">
        <v>109</v>
      </c>
      <c r="T294" s="177" t="s">
        <v>404</v>
      </c>
      <c r="U294" s="177" t="s">
        <v>918</v>
      </c>
      <c r="V294" s="177" t="b">
        <v>0</v>
      </c>
      <c r="W294" s="177" t="s">
        <v>109</v>
      </c>
      <c r="X294" s="261"/>
      <c r="Y294" s="177">
        <v>0.1</v>
      </c>
      <c r="Z294" s="177" t="s">
        <v>109</v>
      </c>
      <c r="AA294" s="177">
        <v>69</v>
      </c>
      <c r="AB294" s="177" t="s">
        <v>109</v>
      </c>
      <c r="AC294" s="177">
        <v>1.2</v>
      </c>
      <c r="AD294" s="177" t="s">
        <v>2103</v>
      </c>
      <c r="AE294" s="177" t="s">
        <v>2085</v>
      </c>
      <c r="AF294" s="177">
        <v>1</v>
      </c>
      <c r="AG294" s="177">
        <v>21134</v>
      </c>
      <c r="AH294" s="177" t="s">
        <v>121</v>
      </c>
      <c r="AI294" s="177" t="b">
        <v>1</v>
      </c>
      <c r="AJ294" s="180" t="s">
        <v>2104</v>
      </c>
      <c r="AK294" s="177" t="s">
        <v>122</v>
      </c>
      <c r="AL294" s="177" t="s">
        <v>109</v>
      </c>
      <c r="AM294" s="177" t="s">
        <v>109</v>
      </c>
      <c r="AN294" s="177" t="b">
        <v>0</v>
      </c>
      <c r="AO294" s="177" t="s">
        <v>109</v>
      </c>
      <c r="AP294" s="177" t="s">
        <v>109</v>
      </c>
      <c r="AQ294" s="177" t="s">
        <v>109</v>
      </c>
      <c r="AR294" s="177" t="b">
        <v>0</v>
      </c>
      <c r="AS294" s="177" t="s">
        <v>123</v>
      </c>
      <c r="AT294" s="180" t="s">
        <v>123</v>
      </c>
      <c r="AU294" s="177" t="s">
        <v>124</v>
      </c>
      <c r="AV294" s="177" t="s">
        <v>109</v>
      </c>
      <c r="AW294" s="177" t="s">
        <v>109</v>
      </c>
      <c r="AX294" s="177" t="s">
        <v>109</v>
      </c>
      <c r="AY294" s="177" t="s">
        <v>135</v>
      </c>
      <c r="AZ294" s="177" t="s">
        <v>2105</v>
      </c>
      <c r="BA294" s="177" t="s">
        <v>494</v>
      </c>
      <c r="BB294" s="177">
        <v>2023</v>
      </c>
      <c r="BC294" s="177" t="s">
        <v>699</v>
      </c>
      <c r="BD294" s="177" t="s">
        <v>109</v>
      </c>
      <c r="BE294" s="180" t="s">
        <v>2106</v>
      </c>
      <c r="BF294" s="180" t="s">
        <v>227</v>
      </c>
      <c r="BG294" s="180" t="s">
        <v>584</v>
      </c>
      <c r="BH294" s="177" t="s">
        <v>109</v>
      </c>
      <c r="BI294" s="177" t="s">
        <v>109</v>
      </c>
      <c r="BJ294" s="177" t="b">
        <v>1</v>
      </c>
      <c r="BK294" s="233">
        <v>546.30007999999998</v>
      </c>
      <c r="BL294" s="234" t="s">
        <v>128</v>
      </c>
      <c r="BM294" s="233">
        <v>1418.6753100000001</v>
      </c>
      <c r="BN294" s="233">
        <v>0</v>
      </c>
      <c r="BO294" s="233">
        <v>50.635399999999997</v>
      </c>
      <c r="BP294" s="233">
        <v>177.56712999999999</v>
      </c>
      <c r="BQ294" s="233">
        <v>633.98703999999998</v>
      </c>
      <c r="BR294" s="233">
        <v>636.95573000000002</v>
      </c>
      <c r="BS294" s="233">
        <v>-80.469989999999996</v>
      </c>
      <c r="BT294" s="233">
        <v>0</v>
      </c>
      <c r="BU294" s="233">
        <v>0</v>
      </c>
      <c r="BV294" s="233">
        <v>0</v>
      </c>
      <c r="BW294" s="233">
        <v>0</v>
      </c>
      <c r="BX294" s="233">
        <v>0</v>
      </c>
      <c r="BY294" s="234">
        <v>0</v>
      </c>
      <c r="BZ294" s="236" t="s">
        <v>109</v>
      </c>
      <c r="CA294" s="236" t="s">
        <v>109</v>
      </c>
      <c r="CB294" s="233" t="s">
        <v>196</v>
      </c>
      <c r="CC294" s="233">
        <v>0</v>
      </c>
      <c r="CD294" s="233">
        <v>0</v>
      </c>
      <c r="CE294" s="233">
        <v>0</v>
      </c>
      <c r="CF294" s="233">
        <v>0</v>
      </c>
      <c r="CG294" s="233">
        <v>1298.4844599999999</v>
      </c>
      <c r="CH294" s="233">
        <v>120.19085</v>
      </c>
      <c r="CI294" s="233">
        <v>0</v>
      </c>
      <c r="CJ294" s="237">
        <v>0</v>
      </c>
      <c r="CK294" s="177" t="s">
        <v>128</v>
      </c>
      <c r="CL294" s="177" t="s">
        <v>128</v>
      </c>
      <c r="CM294" s="155" t="s">
        <v>109</v>
      </c>
      <c r="CN294" s="229">
        <v>0</v>
      </c>
      <c r="CO294" s="229">
        <v>1</v>
      </c>
      <c r="CP294" t="s">
        <v>155</v>
      </c>
      <c r="CR294" s="248"/>
    </row>
    <row r="295" spans="1:96" ht="14.4" x14ac:dyDescent="0.3">
      <c r="A295">
        <v>292</v>
      </c>
      <c r="B295" s="173" t="s">
        <v>2107</v>
      </c>
      <c r="C295" s="259"/>
      <c r="D295" s="260"/>
      <c r="E295" t="s">
        <v>2108</v>
      </c>
      <c r="F295" t="s">
        <v>2109</v>
      </c>
      <c r="G295" s="177" t="s">
        <v>1947</v>
      </c>
      <c r="H295" s="177" t="s">
        <v>112</v>
      </c>
      <c r="I295" s="177" t="s">
        <v>109</v>
      </c>
      <c r="J295" s="177" t="s">
        <v>109</v>
      </c>
      <c r="K295" s="177" t="s">
        <v>2110</v>
      </c>
      <c r="L295" s="177" t="s">
        <v>207</v>
      </c>
      <c r="M295" s="177" t="s">
        <v>109</v>
      </c>
      <c r="N295" s="177" t="s">
        <v>109</v>
      </c>
      <c r="O295" s="180">
        <v>45682</v>
      </c>
      <c r="P295" s="177" t="s">
        <v>109</v>
      </c>
      <c r="Q295" s="177" t="s">
        <v>109</v>
      </c>
      <c r="R295" s="177" t="s">
        <v>109</v>
      </c>
      <c r="S295" s="177" t="s">
        <v>109</v>
      </c>
      <c r="T295" s="177" t="s">
        <v>404</v>
      </c>
      <c r="U295" s="177" t="s">
        <v>117</v>
      </c>
      <c r="V295" s="177" t="b">
        <v>0</v>
      </c>
      <c r="W295" s="177" t="s">
        <v>109</v>
      </c>
      <c r="X295" s="261"/>
      <c r="Y295" s="177" t="s">
        <v>109</v>
      </c>
      <c r="Z295" s="177" t="s">
        <v>109</v>
      </c>
      <c r="AA295" s="177" t="s">
        <v>109</v>
      </c>
      <c r="AB295" s="177" t="s">
        <v>109</v>
      </c>
      <c r="AC295" s="177">
        <v>1.2</v>
      </c>
      <c r="AD295" s="177" t="s">
        <v>119</v>
      </c>
      <c r="AE295" s="177" t="s">
        <v>2085</v>
      </c>
      <c r="AF295" s="177">
        <v>1</v>
      </c>
      <c r="AG295" s="177">
        <v>21134</v>
      </c>
      <c r="AH295" s="177" t="s">
        <v>121</v>
      </c>
      <c r="AI295" s="177" t="b">
        <v>1</v>
      </c>
      <c r="AJ295" s="180">
        <v>43579</v>
      </c>
      <c r="AK295" s="177" t="s">
        <v>122</v>
      </c>
      <c r="AL295" s="177" t="s">
        <v>109</v>
      </c>
      <c r="AM295" s="177" t="s">
        <v>109</v>
      </c>
      <c r="AN295" s="177" t="b">
        <v>0</v>
      </c>
      <c r="AO295" s="177" t="s">
        <v>109</v>
      </c>
      <c r="AP295" s="177" t="s">
        <v>109</v>
      </c>
      <c r="AQ295" s="177" t="s">
        <v>109</v>
      </c>
      <c r="AR295" s="177" t="b">
        <v>0</v>
      </c>
      <c r="AS295" s="177" t="s">
        <v>123</v>
      </c>
      <c r="AT295" s="180" t="s">
        <v>123</v>
      </c>
      <c r="AU295" s="177" t="s">
        <v>124</v>
      </c>
      <c r="AV295" s="177" t="s">
        <v>109</v>
      </c>
      <c r="AW295" s="177" t="s">
        <v>109</v>
      </c>
      <c r="AX295" s="177" t="s">
        <v>109</v>
      </c>
      <c r="AY295" s="177" t="s">
        <v>109</v>
      </c>
      <c r="AZ295" s="177" t="s">
        <v>109</v>
      </c>
      <c r="BA295" s="177" t="s">
        <v>125</v>
      </c>
      <c r="BB295" s="177" t="s">
        <v>109</v>
      </c>
      <c r="BC295" s="177" t="s">
        <v>126</v>
      </c>
      <c r="BD295" s="177" t="s">
        <v>109</v>
      </c>
      <c r="BE295" s="180" t="s">
        <v>109</v>
      </c>
      <c r="BF295" s="180" t="s">
        <v>172</v>
      </c>
      <c r="BG295" s="180" t="s">
        <v>156</v>
      </c>
      <c r="BH295" s="177" t="s">
        <v>109</v>
      </c>
      <c r="BI295" s="177" t="s">
        <v>109</v>
      </c>
      <c r="BJ295" s="177" t="b">
        <v>0</v>
      </c>
      <c r="BK295" s="233">
        <v>935.73500000000001</v>
      </c>
      <c r="BL295" s="234" t="s">
        <v>128</v>
      </c>
      <c r="BM295" s="233">
        <v>1018.0544200000001</v>
      </c>
      <c r="BN295" s="233">
        <v>153.79604</v>
      </c>
      <c r="BO295" s="233">
        <v>2.7873800000000002</v>
      </c>
      <c r="BP295" s="233">
        <v>0</v>
      </c>
      <c r="BQ295" s="233">
        <v>0</v>
      </c>
      <c r="BR295" s="233">
        <v>0</v>
      </c>
      <c r="BS295" s="233">
        <v>0</v>
      </c>
      <c r="BT295" s="233">
        <v>0</v>
      </c>
      <c r="BU295" s="233">
        <v>0</v>
      </c>
      <c r="BV295" s="233">
        <v>0</v>
      </c>
      <c r="BW295" s="233">
        <v>0</v>
      </c>
      <c r="BX295" s="233">
        <v>0</v>
      </c>
      <c r="BY295" s="234">
        <v>0</v>
      </c>
      <c r="BZ295" s="236" t="s">
        <v>109</v>
      </c>
      <c r="CA295" s="236" t="s">
        <v>109</v>
      </c>
      <c r="CB295" s="233" t="s">
        <v>189</v>
      </c>
      <c r="CC295" s="233">
        <v>1015.26704</v>
      </c>
      <c r="CD295" s="233">
        <v>2.7873800000000002</v>
      </c>
      <c r="CE295" s="233">
        <v>0</v>
      </c>
      <c r="CF295" s="233">
        <v>0</v>
      </c>
      <c r="CG295" s="233">
        <v>0</v>
      </c>
      <c r="CH295" s="233">
        <v>0</v>
      </c>
      <c r="CI295" s="233">
        <v>0</v>
      </c>
      <c r="CJ295" s="237">
        <v>0</v>
      </c>
      <c r="CK295" s="177" t="s">
        <v>128</v>
      </c>
      <c r="CL295" s="177" t="s">
        <v>128</v>
      </c>
      <c r="CM295" s="155" t="s">
        <v>109</v>
      </c>
      <c r="CN295" s="229">
        <v>0</v>
      </c>
      <c r="CO295" s="229">
        <v>0</v>
      </c>
      <c r="CP295" t="s">
        <v>2111</v>
      </c>
      <c r="CR295" s="248"/>
    </row>
    <row r="296" spans="1:96" ht="14.4" x14ac:dyDescent="0.3">
      <c r="A296">
        <v>293</v>
      </c>
      <c r="B296" s="173" t="s">
        <v>2112</v>
      </c>
      <c r="C296" s="259"/>
      <c r="D296" s="260"/>
      <c r="E296" t="s">
        <v>191</v>
      </c>
      <c r="F296" t="s">
        <v>2113</v>
      </c>
      <c r="G296" s="177" t="s">
        <v>688</v>
      </c>
      <c r="H296" s="177" t="s">
        <v>146</v>
      </c>
      <c r="I296" s="177" t="s">
        <v>109</v>
      </c>
      <c r="J296" s="177" t="s">
        <v>109</v>
      </c>
      <c r="K296" s="177" t="s">
        <v>114</v>
      </c>
      <c r="L296" s="177" t="s">
        <v>705</v>
      </c>
      <c r="M296" s="177" t="s">
        <v>109</v>
      </c>
      <c r="N296" s="177" t="s">
        <v>109</v>
      </c>
      <c r="O296" s="180">
        <v>45685</v>
      </c>
      <c r="P296" s="177" t="s">
        <v>2102</v>
      </c>
      <c r="Q296" s="177" t="s">
        <v>109</v>
      </c>
      <c r="R296" s="177" t="s">
        <v>109</v>
      </c>
      <c r="S296" s="177" t="s">
        <v>109</v>
      </c>
      <c r="T296" s="177" t="s">
        <v>404</v>
      </c>
      <c r="U296" s="177" t="s">
        <v>117</v>
      </c>
      <c r="V296" s="177" t="b">
        <v>0</v>
      </c>
      <c r="W296" s="177" t="s">
        <v>123</v>
      </c>
      <c r="X296" s="261"/>
      <c r="Y296" s="177">
        <v>0.1</v>
      </c>
      <c r="Z296" s="177" t="s">
        <v>109</v>
      </c>
      <c r="AA296" s="177" t="s">
        <v>215</v>
      </c>
      <c r="AB296" s="177" t="s">
        <v>109</v>
      </c>
      <c r="AC296" s="177">
        <v>1.2</v>
      </c>
      <c r="AD296" s="177" t="s">
        <v>2114</v>
      </c>
      <c r="AE296" s="177" t="s">
        <v>2085</v>
      </c>
      <c r="AF296" s="177">
        <v>1</v>
      </c>
      <c r="AG296" s="177">
        <v>21134</v>
      </c>
      <c r="AH296" s="177" t="s">
        <v>121</v>
      </c>
      <c r="AI296" s="177" t="b">
        <v>1</v>
      </c>
      <c r="AJ296" s="180" t="s">
        <v>2115</v>
      </c>
      <c r="AK296" s="177" t="s">
        <v>122</v>
      </c>
      <c r="AL296" s="177">
        <v>2022</v>
      </c>
      <c r="AM296" s="177" t="s">
        <v>109</v>
      </c>
      <c r="AN296" s="177" t="b">
        <v>0</v>
      </c>
      <c r="AO296" s="177" t="s">
        <v>109</v>
      </c>
      <c r="AP296" s="177" t="s">
        <v>109</v>
      </c>
      <c r="AQ296" s="177" t="s">
        <v>109</v>
      </c>
      <c r="AR296" s="177" t="b">
        <v>0</v>
      </c>
      <c r="AS296" s="177" t="s">
        <v>123</v>
      </c>
      <c r="AT296" s="180" t="s">
        <v>123</v>
      </c>
      <c r="AU296" s="177" t="s">
        <v>124</v>
      </c>
      <c r="AV296" s="177" t="s">
        <v>109</v>
      </c>
      <c r="AW296" s="177" t="s">
        <v>226</v>
      </c>
      <c r="AX296" s="177" t="s">
        <v>118</v>
      </c>
      <c r="AY296" s="177" t="s">
        <v>135</v>
      </c>
      <c r="AZ296" s="177" t="s">
        <v>2116</v>
      </c>
      <c r="BA296" s="177" t="s">
        <v>494</v>
      </c>
      <c r="BB296" s="177">
        <v>2023</v>
      </c>
      <c r="BC296" s="177" t="s">
        <v>425</v>
      </c>
      <c r="BD296" s="177" t="s">
        <v>109</v>
      </c>
      <c r="BE296" s="180" t="s">
        <v>2117</v>
      </c>
      <c r="BF296" s="180" t="s">
        <v>227</v>
      </c>
      <c r="BG296" s="180" t="s">
        <v>2118</v>
      </c>
      <c r="BH296" s="177" t="s">
        <v>109</v>
      </c>
      <c r="BI296" s="177" t="s">
        <v>109</v>
      </c>
      <c r="BJ296" s="177" t="b">
        <v>1</v>
      </c>
      <c r="BK296" s="233">
        <v>546.14896999999996</v>
      </c>
      <c r="BL296" s="234" t="s">
        <v>128</v>
      </c>
      <c r="BM296" s="233">
        <v>1098.77629</v>
      </c>
      <c r="BN296" s="233">
        <v>0</v>
      </c>
      <c r="BO296" s="233">
        <v>41.797490000000003</v>
      </c>
      <c r="BP296" s="233">
        <v>172.77525</v>
      </c>
      <c r="BQ296" s="233">
        <v>438.04829000000001</v>
      </c>
      <c r="BR296" s="233">
        <v>516.48271</v>
      </c>
      <c r="BS296" s="233">
        <v>46.145510000000002</v>
      </c>
      <c r="BT296" s="233">
        <v>0</v>
      </c>
      <c r="BU296" s="233">
        <v>0</v>
      </c>
      <c r="BV296" s="233">
        <v>0</v>
      </c>
      <c r="BW296" s="233">
        <v>0</v>
      </c>
      <c r="BX296" s="233">
        <v>0</v>
      </c>
      <c r="BY296" s="234">
        <v>0</v>
      </c>
      <c r="BZ296" s="236" t="s">
        <v>109</v>
      </c>
      <c r="CA296" s="236" t="s">
        <v>109</v>
      </c>
      <c r="CB296" s="233" t="s">
        <v>196</v>
      </c>
      <c r="CC296" s="233">
        <v>0</v>
      </c>
      <c r="CD296" s="233">
        <v>0</v>
      </c>
      <c r="CE296" s="233">
        <v>0</v>
      </c>
      <c r="CF296" s="233">
        <v>0</v>
      </c>
      <c r="CG296" s="233">
        <v>1169.10374</v>
      </c>
      <c r="CH296" s="233">
        <v>46.145510000000002</v>
      </c>
      <c r="CI296" s="233">
        <v>0</v>
      </c>
      <c r="CJ296" s="237">
        <v>0</v>
      </c>
      <c r="CK296" s="177" t="s">
        <v>128</v>
      </c>
      <c r="CL296" s="177" t="s">
        <v>128</v>
      </c>
      <c r="CM296" s="155" t="s">
        <v>109</v>
      </c>
      <c r="CN296" s="229">
        <v>0</v>
      </c>
      <c r="CO296" s="229">
        <v>1</v>
      </c>
      <c r="CP296" t="s">
        <v>155</v>
      </c>
      <c r="CR296" s="248"/>
    </row>
    <row r="297" spans="1:96" ht="14.4" x14ac:dyDescent="0.3">
      <c r="A297">
        <v>294</v>
      </c>
      <c r="B297" s="173" t="s">
        <v>2119</v>
      </c>
      <c r="C297" s="259"/>
      <c r="D297" s="260"/>
      <c r="E297" t="s">
        <v>329</v>
      </c>
      <c r="F297" t="s">
        <v>2120</v>
      </c>
      <c r="G297" s="177" t="s">
        <v>111</v>
      </c>
      <c r="H297" s="177" t="s">
        <v>112</v>
      </c>
      <c r="I297" s="177" t="s">
        <v>112</v>
      </c>
      <c r="J297" s="177" t="s">
        <v>109</v>
      </c>
      <c r="K297" s="177" t="s">
        <v>192</v>
      </c>
      <c r="L297" s="177" t="s">
        <v>193</v>
      </c>
      <c r="M297" s="177" t="s">
        <v>194</v>
      </c>
      <c r="N297" s="177" t="s">
        <v>194</v>
      </c>
      <c r="O297" s="180">
        <v>45674</v>
      </c>
      <c r="P297" s="177" t="s">
        <v>109</v>
      </c>
      <c r="Q297" s="177" t="s">
        <v>109</v>
      </c>
      <c r="R297" s="177" t="s">
        <v>109</v>
      </c>
      <c r="S297" s="177" t="s">
        <v>109</v>
      </c>
      <c r="T297" s="177" t="s">
        <v>200</v>
      </c>
      <c r="U297" s="177" t="s">
        <v>117</v>
      </c>
      <c r="V297" s="177" t="b">
        <v>0</v>
      </c>
      <c r="W297" s="177" t="s">
        <v>109</v>
      </c>
      <c r="X297" s="261"/>
      <c r="Y297" s="177">
        <v>0.3</v>
      </c>
      <c r="Z297" s="177" t="s">
        <v>118</v>
      </c>
      <c r="AA297" s="177" t="s">
        <v>215</v>
      </c>
      <c r="AB297" s="177" t="s">
        <v>109</v>
      </c>
      <c r="AC297" s="177">
        <v>1.2</v>
      </c>
      <c r="AD297" s="177" t="s">
        <v>2121</v>
      </c>
      <c r="AE297" s="177" t="s">
        <v>2085</v>
      </c>
      <c r="AF297" s="177">
        <v>1</v>
      </c>
      <c r="AG297" s="177">
        <v>21134</v>
      </c>
      <c r="AH297" s="177" t="s">
        <v>121</v>
      </c>
      <c r="AI297" s="177" t="b">
        <v>1</v>
      </c>
      <c r="AJ297" s="180">
        <v>44293</v>
      </c>
      <c r="AK297" s="177" t="s">
        <v>122</v>
      </c>
      <c r="AL297" s="177">
        <v>2021</v>
      </c>
      <c r="AM297" s="177" t="s">
        <v>109</v>
      </c>
      <c r="AN297" s="179" t="b">
        <v>0</v>
      </c>
      <c r="AO297" s="177" t="s">
        <v>109</v>
      </c>
      <c r="AP297" s="177" t="s">
        <v>109</v>
      </c>
      <c r="AQ297" s="177" t="s">
        <v>109</v>
      </c>
      <c r="AR297" s="177" t="b">
        <v>1</v>
      </c>
      <c r="AS297" s="177" t="s">
        <v>123</v>
      </c>
      <c r="AT297" s="180" t="s">
        <v>109</v>
      </c>
      <c r="AU297" s="177" t="s">
        <v>124</v>
      </c>
      <c r="AV297" s="177" t="s">
        <v>109</v>
      </c>
      <c r="AW297" s="177" t="s">
        <v>195</v>
      </c>
      <c r="AX297" s="177" t="s">
        <v>109</v>
      </c>
      <c r="AY297" s="177" t="s">
        <v>135</v>
      </c>
      <c r="AZ297" s="177" t="s">
        <v>109</v>
      </c>
      <c r="BA297" s="177" t="s">
        <v>125</v>
      </c>
      <c r="BB297" s="177" t="s">
        <v>109</v>
      </c>
      <c r="BC297" s="177" t="s">
        <v>296</v>
      </c>
      <c r="BD297" s="177" t="s">
        <v>109</v>
      </c>
      <c r="BE297" s="181" t="s">
        <v>2099</v>
      </c>
      <c r="BF297" s="180" t="s">
        <v>2122</v>
      </c>
      <c r="BG297" s="180" t="s">
        <v>2122</v>
      </c>
      <c r="BH297" s="177" t="s">
        <v>138</v>
      </c>
      <c r="BI297" s="177" t="s">
        <v>138</v>
      </c>
      <c r="BJ297" s="177" t="b">
        <v>1</v>
      </c>
      <c r="BK297" s="233">
        <v>685.71190000000001</v>
      </c>
      <c r="BL297" s="234" t="s">
        <v>128</v>
      </c>
      <c r="BM297" s="236">
        <v>1033.9476400000001</v>
      </c>
      <c r="BN297" s="236">
        <v>0</v>
      </c>
      <c r="BO297" s="236">
        <v>106.64843</v>
      </c>
      <c r="BP297" s="236">
        <v>239.92132000000001</v>
      </c>
      <c r="BQ297" s="236">
        <v>492.62135000000001</v>
      </c>
      <c r="BR297" s="236">
        <v>204.02726999999999</v>
      </c>
      <c r="BS297" s="236">
        <v>-9.2707300000000004</v>
      </c>
      <c r="BT297" s="236">
        <v>0</v>
      </c>
      <c r="BU297" s="236">
        <v>0</v>
      </c>
      <c r="BV297" s="236">
        <v>0</v>
      </c>
      <c r="BW297" s="236">
        <v>0</v>
      </c>
      <c r="BX297" s="236">
        <v>0</v>
      </c>
      <c r="BY297" s="234">
        <v>0</v>
      </c>
      <c r="BZ297" s="236" t="s">
        <v>109</v>
      </c>
      <c r="CA297" s="236" t="s">
        <v>109</v>
      </c>
      <c r="CB297" s="236" t="s">
        <v>154</v>
      </c>
      <c r="CC297" s="236">
        <v>0</v>
      </c>
      <c r="CD297" s="236">
        <v>0</v>
      </c>
      <c r="CE297" s="236">
        <v>0</v>
      </c>
      <c r="CF297" s="236">
        <v>839.19110000000001</v>
      </c>
      <c r="CG297" s="236">
        <v>204.02726999999999</v>
      </c>
      <c r="CH297" s="236">
        <v>-9.2707300000000004</v>
      </c>
      <c r="CI297" s="236">
        <v>0</v>
      </c>
      <c r="CJ297" s="237">
        <v>0</v>
      </c>
      <c r="CK297" s="237">
        <v>0</v>
      </c>
      <c r="CL297" s="177" t="s">
        <v>128</v>
      </c>
      <c r="CM297" s="155" t="s">
        <v>109</v>
      </c>
      <c r="CN297" s="229">
        <v>0</v>
      </c>
      <c r="CO297" s="229">
        <v>1</v>
      </c>
      <c r="CP297" t="s">
        <v>202</v>
      </c>
      <c r="CR297" s="248"/>
    </row>
    <row r="298" spans="1:96" ht="14.4" x14ac:dyDescent="0.3">
      <c r="A298">
        <v>295</v>
      </c>
      <c r="B298" s="173" t="s">
        <v>2123</v>
      </c>
      <c r="C298" s="259"/>
      <c r="D298" s="260"/>
      <c r="E298" t="s">
        <v>1253</v>
      </c>
      <c r="F298" t="s">
        <v>2124</v>
      </c>
      <c r="G298" s="177" t="s">
        <v>111</v>
      </c>
      <c r="H298" s="177" t="s">
        <v>112</v>
      </c>
      <c r="I298" s="177" t="s">
        <v>112</v>
      </c>
      <c r="J298" s="177" t="s">
        <v>109</v>
      </c>
      <c r="K298" s="177" t="s">
        <v>192</v>
      </c>
      <c r="L298" s="177" t="s">
        <v>193</v>
      </c>
      <c r="M298" s="177" t="s">
        <v>194</v>
      </c>
      <c r="N298" s="177" t="s">
        <v>194</v>
      </c>
      <c r="O298" s="180">
        <v>45708</v>
      </c>
      <c r="P298" s="177" t="s">
        <v>109</v>
      </c>
      <c r="Q298" s="177" t="s">
        <v>109</v>
      </c>
      <c r="R298" s="177" t="s">
        <v>109</v>
      </c>
      <c r="S298" s="177" t="s">
        <v>109</v>
      </c>
      <c r="T298" s="177" t="s">
        <v>200</v>
      </c>
      <c r="U298" s="177" t="s">
        <v>117</v>
      </c>
      <c r="V298" s="177" t="b">
        <v>0</v>
      </c>
      <c r="W298" s="177" t="s">
        <v>109</v>
      </c>
      <c r="X298" s="261"/>
      <c r="Y298" s="177">
        <v>0.4</v>
      </c>
      <c r="Z298" s="177" t="s">
        <v>118</v>
      </c>
      <c r="AA298" s="177" t="s">
        <v>215</v>
      </c>
      <c r="AB298" s="177" t="s">
        <v>109</v>
      </c>
      <c r="AC298" s="177">
        <v>1.2</v>
      </c>
      <c r="AD298" s="177" t="s">
        <v>2125</v>
      </c>
      <c r="AE298" s="177" t="s">
        <v>2085</v>
      </c>
      <c r="AF298" s="177">
        <v>1</v>
      </c>
      <c r="AG298" s="177">
        <v>21134</v>
      </c>
      <c r="AH298" s="177" t="s">
        <v>121</v>
      </c>
      <c r="AI298" s="177" t="b">
        <v>1</v>
      </c>
      <c r="AJ298" s="180" t="s">
        <v>2126</v>
      </c>
      <c r="AK298" s="177" t="s">
        <v>122</v>
      </c>
      <c r="AL298" s="177">
        <v>2020</v>
      </c>
      <c r="AM298" s="177" t="s">
        <v>109</v>
      </c>
      <c r="AN298" s="179" t="b">
        <v>0</v>
      </c>
      <c r="AO298" s="177" t="s">
        <v>109</v>
      </c>
      <c r="AP298" s="177" t="s">
        <v>109</v>
      </c>
      <c r="AQ298" s="177" t="s">
        <v>109</v>
      </c>
      <c r="AR298" s="177" t="b">
        <v>1</v>
      </c>
      <c r="AS298" s="177" t="s">
        <v>123</v>
      </c>
      <c r="AT298" s="180" t="s">
        <v>109</v>
      </c>
      <c r="AU298" s="177" t="s">
        <v>124</v>
      </c>
      <c r="AV298" s="177" t="s">
        <v>109</v>
      </c>
      <c r="AW298" s="177" t="s">
        <v>195</v>
      </c>
      <c r="AX298" s="177" t="s">
        <v>109</v>
      </c>
      <c r="AY298" s="177" t="s">
        <v>135</v>
      </c>
      <c r="AZ298" s="177" t="s">
        <v>109</v>
      </c>
      <c r="BA298" s="177" t="s">
        <v>125</v>
      </c>
      <c r="BB298" s="177" t="s">
        <v>109</v>
      </c>
      <c r="BC298" s="177" t="s">
        <v>296</v>
      </c>
      <c r="BD298" s="177" t="s">
        <v>109</v>
      </c>
      <c r="BE298" s="181" t="s">
        <v>2127</v>
      </c>
      <c r="BF298" s="180" t="s">
        <v>2128</v>
      </c>
      <c r="BG298" s="180" t="s">
        <v>1403</v>
      </c>
      <c r="BH298" s="177" t="s">
        <v>138</v>
      </c>
      <c r="BI298" s="177" t="s">
        <v>138</v>
      </c>
      <c r="BJ298" s="177" t="b">
        <v>1</v>
      </c>
      <c r="BK298" s="233">
        <v>1740.61997</v>
      </c>
      <c r="BL298" s="234" t="s">
        <v>128</v>
      </c>
      <c r="BM298" s="236">
        <v>1090.60663</v>
      </c>
      <c r="BN298" s="236">
        <v>85.433869999999999</v>
      </c>
      <c r="BO298" s="236">
        <v>147.03361000000001</v>
      </c>
      <c r="BP298" s="236">
        <v>162.0479</v>
      </c>
      <c r="BQ298" s="236">
        <v>227.71633</v>
      </c>
      <c r="BR298" s="236">
        <v>315.67101000000002</v>
      </c>
      <c r="BS298" s="236">
        <v>152.70391000000001</v>
      </c>
      <c r="BT298" s="236">
        <v>0</v>
      </c>
      <c r="BU298" s="236">
        <v>0</v>
      </c>
      <c r="BV298" s="236">
        <v>0</v>
      </c>
      <c r="BW298" s="236">
        <v>0</v>
      </c>
      <c r="BX298" s="236">
        <v>0</v>
      </c>
      <c r="BY298" s="234">
        <v>0</v>
      </c>
      <c r="BZ298" s="236" t="s">
        <v>109</v>
      </c>
      <c r="CA298" s="236" t="s">
        <v>109</v>
      </c>
      <c r="CB298" s="236">
        <v>2025</v>
      </c>
      <c r="CC298" s="236">
        <v>0</v>
      </c>
      <c r="CD298" s="236">
        <v>0</v>
      </c>
      <c r="CE298" s="236">
        <v>0</v>
      </c>
      <c r="CF298" s="236">
        <v>0</v>
      </c>
      <c r="CG298" s="236">
        <v>0</v>
      </c>
      <c r="CH298" s="236">
        <v>1090.60663</v>
      </c>
      <c r="CI298" s="236">
        <v>0</v>
      </c>
      <c r="CJ298" s="237">
        <v>0</v>
      </c>
      <c r="CK298" s="237">
        <v>0</v>
      </c>
      <c r="CL298" s="177" t="s">
        <v>128</v>
      </c>
      <c r="CM298" s="155" t="s">
        <v>109</v>
      </c>
      <c r="CN298" s="229">
        <v>0</v>
      </c>
      <c r="CO298" s="229">
        <v>1</v>
      </c>
      <c r="CP298" t="s">
        <v>202</v>
      </c>
      <c r="CR298" s="248"/>
    </row>
    <row r="299" spans="1:96" ht="14.4" x14ac:dyDescent="0.3">
      <c r="A299">
        <v>296</v>
      </c>
      <c r="B299" s="173" t="s">
        <v>2129</v>
      </c>
      <c r="C299" s="259"/>
      <c r="D299" s="260"/>
      <c r="E299" t="s">
        <v>109</v>
      </c>
      <c r="F299" t="s">
        <v>2130</v>
      </c>
      <c r="G299" s="177" t="s">
        <v>661</v>
      </c>
      <c r="H299" s="177" t="s">
        <v>146</v>
      </c>
      <c r="I299" s="177" t="s">
        <v>113</v>
      </c>
      <c r="J299" s="177" t="s">
        <v>109</v>
      </c>
      <c r="K299" s="177" t="s">
        <v>114</v>
      </c>
      <c r="L299" s="177" t="s">
        <v>663</v>
      </c>
      <c r="M299" s="177" t="s">
        <v>109</v>
      </c>
      <c r="N299" s="177" t="s">
        <v>109</v>
      </c>
      <c r="O299" s="180" t="s">
        <v>109</v>
      </c>
      <c r="P299" s="177" t="s">
        <v>109</v>
      </c>
      <c r="Q299" s="177" t="s">
        <v>109</v>
      </c>
      <c r="R299" s="177" t="s">
        <v>109</v>
      </c>
      <c r="S299" s="177" t="s">
        <v>109</v>
      </c>
      <c r="T299" s="177" t="s">
        <v>116</v>
      </c>
      <c r="U299" s="177" t="s">
        <v>117</v>
      </c>
      <c r="V299" s="177" t="b">
        <v>0</v>
      </c>
      <c r="W299" s="177" t="s">
        <v>109</v>
      </c>
      <c r="X299" s="261"/>
      <c r="Y299" s="177" t="s">
        <v>118</v>
      </c>
      <c r="Z299" s="177" t="s">
        <v>118</v>
      </c>
      <c r="AA299" s="177" t="s">
        <v>109</v>
      </c>
      <c r="AB299" s="177" t="s">
        <v>109</v>
      </c>
      <c r="AC299" s="177">
        <v>4.0999999999999996</v>
      </c>
      <c r="AD299" s="177" t="s">
        <v>119</v>
      </c>
      <c r="AE299" s="177" t="s">
        <v>2131</v>
      </c>
      <c r="AF299" s="177">
        <v>176</v>
      </c>
      <c r="AG299" s="177">
        <v>21135</v>
      </c>
      <c r="AH299" s="177" t="s">
        <v>121</v>
      </c>
      <c r="AI299" s="177" t="b">
        <v>1</v>
      </c>
      <c r="AJ299" s="180">
        <v>45642</v>
      </c>
      <c r="AK299" s="177" t="s">
        <v>122</v>
      </c>
      <c r="AL299" s="177" t="s">
        <v>109</v>
      </c>
      <c r="AM299" s="177" t="s">
        <v>109</v>
      </c>
      <c r="AN299" s="177" t="b">
        <v>0</v>
      </c>
      <c r="AO299" s="177" t="s">
        <v>109</v>
      </c>
      <c r="AP299" s="177" t="s">
        <v>109</v>
      </c>
      <c r="AQ299" s="177" t="s">
        <v>118</v>
      </c>
      <c r="AR299" s="177" t="b">
        <v>0</v>
      </c>
      <c r="AS299" s="177" t="s">
        <v>123</v>
      </c>
      <c r="AT299" s="180" t="s">
        <v>123</v>
      </c>
      <c r="AU299" s="177" t="s">
        <v>124</v>
      </c>
      <c r="AV299" s="177" t="s">
        <v>109</v>
      </c>
      <c r="AW299" s="177" t="s">
        <v>118</v>
      </c>
      <c r="AX299" s="177" t="s">
        <v>118</v>
      </c>
      <c r="AY299" s="177" t="s">
        <v>109</v>
      </c>
      <c r="AZ299" s="177" t="s">
        <v>109</v>
      </c>
      <c r="BA299" s="177" t="s">
        <v>125</v>
      </c>
      <c r="BB299" s="177" t="s">
        <v>109</v>
      </c>
      <c r="BC299" s="177" t="s">
        <v>126</v>
      </c>
      <c r="BD299" s="177" t="s">
        <v>109</v>
      </c>
      <c r="BE299" s="180" t="s">
        <v>109</v>
      </c>
      <c r="BF299" s="180" t="s">
        <v>127</v>
      </c>
      <c r="BG299" s="180" t="s">
        <v>119</v>
      </c>
      <c r="BH299" s="177" t="s">
        <v>109</v>
      </c>
      <c r="BI299" s="177" t="s">
        <v>109</v>
      </c>
      <c r="BJ299" s="177" t="b">
        <v>1</v>
      </c>
      <c r="BK299" s="233" t="s">
        <v>118</v>
      </c>
      <c r="BL299" s="234" t="s">
        <v>128</v>
      </c>
      <c r="BM299" s="233">
        <f>292865.655383826-SUM(BM300:BM302)</f>
        <v>289073.87544304086</v>
      </c>
      <c r="BN299" s="235">
        <f>4379.2650717-SUM(BN300:BN302)</f>
        <v>2540.9857416999998</v>
      </c>
      <c r="BO299" s="235">
        <f>3917.4354771-SUM(BO300:BO302)</f>
        <v>3809.6615370999998</v>
      </c>
      <c r="BP299" s="235">
        <f>6927.32018-SUM(BP300:BP302)</f>
        <v>6901.7154299999993</v>
      </c>
      <c r="BQ299" s="235">
        <f>11844.57112-SUM(BQ300:BQ302)</f>
        <v>11360.880450000001</v>
      </c>
      <c r="BR299" s="235">
        <f>13588.31255-SUM(BR300:BR302)</f>
        <v>13309.347240000001</v>
      </c>
      <c r="BS299" s="235">
        <f>2686.72791-SUM(BS300:BS302)</f>
        <v>2728.0876499999999</v>
      </c>
      <c r="BT299" s="235">
        <f>12253.7533135-SUM(BT300:BT302)</f>
        <v>12222.485443899999</v>
      </c>
      <c r="BU299" s="235">
        <f>16970.315354-SUM(BU300:BU302)</f>
        <v>16925.267069999998</v>
      </c>
      <c r="BV299" s="235">
        <f>19089.5033167-SUM(BV300:BV302)</f>
        <v>19040.293162800001</v>
      </c>
      <c r="BW299" s="235">
        <f>20984.4343537-SUM(BW300:BW302)</f>
        <v>20981.935960299998</v>
      </c>
      <c r="BX299" s="235">
        <f>22998.9634212-SUM(BX300:BX302)</f>
        <v>22998.963421199998</v>
      </c>
      <c r="BY299" s="234">
        <v>20378.61534</v>
      </c>
      <c r="BZ299" s="236" t="s">
        <v>109</v>
      </c>
      <c r="CA299" s="236" t="s">
        <v>109</v>
      </c>
      <c r="CB299" s="236" t="s">
        <v>129</v>
      </c>
      <c r="CC299" s="235">
        <f>4234.0642225-SUM(CC300:CC302)</f>
        <v>2907.1743125000003</v>
      </c>
      <c r="CD299" s="235">
        <f>2500.2053171-SUM(CD300:CD302)</f>
        <v>2460.2850070999998</v>
      </c>
      <c r="CE299" s="235">
        <f>5119.01308-SUM(CE300:CE302)</f>
        <v>3563.7697799999996</v>
      </c>
      <c r="CF299" s="235">
        <f>6965.28464-SUM(CF300:CF302)</f>
        <v>6960.6808599999995</v>
      </c>
      <c r="CG299" s="235">
        <f>14782.79399-SUM(CG300:CG302)</f>
        <v>14782.79399</v>
      </c>
      <c r="CH299" s="235">
        <f>1535.39602-SUM(CH300:CH302)</f>
        <v>1535.3960199999999</v>
      </c>
      <c r="CI299" s="235">
        <f>3105.1914924-SUM(CI300:CI302)</f>
        <v>3105.1914923999998</v>
      </c>
      <c r="CJ299" s="237">
        <v>0</v>
      </c>
      <c r="CK299" s="177" t="s">
        <v>128</v>
      </c>
      <c r="CL299" s="177">
        <v>7.3</v>
      </c>
      <c r="CM299" s="155" t="s">
        <v>109</v>
      </c>
      <c r="CN299" s="229">
        <v>0</v>
      </c>
      <c r="CO299" s="229">
        <v>0</v>
      </c>
      <c r="CP299" t="s">
        <v>155</v>
      </c>
      <c r="CR299" s="248"/>
    </row>
    <row r="300" spans="1:96" ht="14.4" x14ac:dyDescent="0.3">
      <c r="A300">
        <v>297</v>
      </c>
      <c r="B300" s="173" t="s">
        <v>2132</v>
      </c>
      <c r="C300" s="259"/>
      <c r="D300" s="260"/>
      <c r="E300" t="s">
        <v>2133</v>
      </c>
      <c r="F300" t="s">
        <v>2134</v>
      </c>
      <c r="G300" s="177" t="s">
        <v>688</v>
      </c>
      <c r="H300" s="177" t="s">
        <v>146</v>
      </c>
      <c r="I300" s="177" t="s">
        <v>109</v>
      </c>
      <c r="J300" s="177">
        <v>2988970</v>
      </c>
      <c r="K300" s="177" t="s">
        <v>114</v>
      </c>
      <c r="L300" s="177" t="s">
        <v>705</v>
      </c>
      <c r="M300" s="177" t="s">
        <v>109</v>
      </c>
      <c r="N300" s="177" t="s">
        <v>109</v>
      </c>
      <c r="O300" s="180">
        <v>45687</v>
      </c>
      <c r="P300" s="177" t="s">
        <v>775</v>
      </c>
      <c r="Q300" s="177" t="s">
        <v>109</v>
      </c>
      <c r="R300" s="177" t="s">
        <v>109</v>
      </c>
      <c r="S300" s="177" t="s">
        <v>109</v>
      </c>
      <c r="T300" s="177" t="s">
        <v>116</v>
      </c>
      <c r="U300" s="177" t="s">
        <v>117</v>
      </c>
      <c r="V300" s="177" t="b">
        <v>0</v>
      </c>
      <c r="W300" s="177" t="s">
        <v>109</v>
      </c>
      <c r="X300" s="261"/>
      <c r="Y300" s="177">
        <v>0.5</v>
      </c>
      <c r="Z300" s="177" t="s">
        <v>109</v>
      </c>
      <c r="AA300" s="177">
        <v>69</v>
      </c>
      <c r="AB300" s="177" t="s">
        <v>109</v>
      </c>
      <c r="AC300" s="177">
        <v>4.0999999999999996</v>
      </c>
      <c r="AD300" s="177" t="s">
        <v>119</v>
      </c>
      <c r="AE300" s="177" t="s">
        <v>2131</v>
      </c>
      <c r="AF300" s="177">
        <v>1</v>
      </c>
      <c r="AG300" s="177">
        <v>21135</v>
      </c>
      <c r="AH300" s="177" t="s">
        <v>121</v>
      </c>
      <c r="AI300" s="177" t="b">
        <v>1</v>
      </c>
      <c r="AJ300" s="180">
        <v>44176</v>
      </c>
      <c r="AK300" s="177" t="s">
        <v>122</v>
      </c>
      <c r="AL300" s="177" t="s">
        <v>109</v>
      </c>
      <c r="AM300" s="177" t="s">
        <v>109</v>
      </c>
      <c r="AN300" s="177" t="b">
        <v>0</v>
      </c>
      <c r="AO300" s="177" t="s">
        <v>109</v>
      </c>
      <c r="AP300" s="177" t="s">
        <v>109</v>
      </c>
      <c r="AQ300" s="177" t="s">
        <v>109</v>
      </c>
      <c r="AR300" s="177" t="b">
        <v>0</v>
      </c>
      <c r="AS300" s="177" t="s">
        <v>123</v>
      </c>
      <c r="AT300" s="180" t="s">
        <v>123</v>
      </c>
      <c r="AU300" s="177" t="s">
        <v>124</v>
      </c>
      <c r="AV300" s="177" t="s">
        <v>109</v>
      </c>
      <c r="AW300" s="177" t="s">
        <v>109</v>
      </c>
      <c r="AX300" s="177" t="s">
        <v>109</v>
      </c>
      <c r="AY300" s="177" t="s">
        <v>135</v>
      </c>
      <c r="AZ300" s="177" t="s">
        <v>109</v>
      </c>
      <c r="BA300" s="177" t="s">
        <v>125</v>
      </c>
      <c r="BB300" s="177" t="s">
        <v>109</v>
      </c>
      <c r="BC300" s="177" t="s">
        <v>126</v>
      </c>
      <c r="BD300" s="177" t="s">
        <v>109</v>
      </c>
      <c r="BE300" s="180" t="s">
        <v>1785</v>
      </c>
      <c r="BF300" s="180" t="s">
        <v>137</v>
      </c>
      <c r="BG300" s="180" t="s">
        <v>1620</v>
      </c>
      <c r="BH300" s="177" t="s">
        <v>109</v>
      </c>
      <c r="BI300" s="177" t="s">
        <v>109</v>
      </c>
      <c r="BJ300" s="177" t="b">
        <v>0</v>
      </c>
      <c r="BK300" s="233">
        <v>2762.0811199999998</v>
      </c>
      <c r="BL300" s="234" t="s">
        <v>128</v>
      </c>
      <c r="BM300" s="233">
        <v>1555.2433000000001</v>
      </c>
      <c r="BN300" s="233">
        <v>1482.1904</v>
      </c>
      <c r="BO300" s="233">
        <v>67.853629999999995</v>
      </c>
      <c r="BP300" s="233">
        <v>5.1992700000000003</v>
      </c>
      <c r="BQ300" s="233">
        <v>0</v>
      </c>
      <c r="BR300" s="233">
        <v>0</v>
      </c>
      <c r="BS300" s="233">
        <v>0</v>
      </c>
      <c r="BT300" s="233">
        <v>0</v>
      </c>
      <c r="BU300" s="233">
        <v>0</v>
      </c>
      <c r="BV300" s="233">
        <v>0</v>
      </c>
      <c r="BW300" s="233">
        <v>0</v>
      </c>
      <c r="BX300" s="233">
        <v>0</v>
      </c>
      <c r="BY300" s="234">
        <v>0</v>
      </c>
      <c r="BZ300" s="236" t="s">
        <v>109</v>
      </c>
      <c r="CA300" s="236" t="s">
        <v>109</v>
      </c>
      <c r="CB300" s="233">
        <v>2022</v>
      </c>
      <c r="CC300" s="233">
        <v>0</v>
      </c>
      <c r="CD300" s="233">
        <v>0</v>
      </c>
      <c r="CE300" s="233">
        <v>1555.2433000000001</v>
      </c>
      <c r="CF300" s="233">
        <v>0</v>
      </c>
      <c r="CG300" s="233">
        <v>0</v>
      </c>
      <c r="CH300" s="233">
        <v>0</v>
      </c>
      <c r="CI300" s="233">
        <v>0</v>
      </c>
      <c r="CJ300" s="237">
        <v>0</v>
      </c>
      <c r="CK300" s="177" t="s">
        <v>128</v>
      </c>
      <c r="CL300" s="177" t="s">
        <v>128</v>
      </c>
      <c r="CM300" s="155" t="s">
        <v>109</v>
      </c>
      <c r="CN300" s="229">
        <v>0</v>
      </c>
      <c r="CO300" s="229">
        <v>1</v>
      </c>
      <c r="CP300" t="s">
        <v>2135</v>
      </c>
      <c r="CR300" s="248"/>
    </row>
    <row r="301" spans="1:96" ht="14.4" x14ac:dyDescent="0.3">
      <c r="A301">
        <v>298</v>
      </c>
      <c r="B301" s="173" t="s">
        <v>2136</v>
      </c>
      <c r="C301" s="259"/>
      <c r="D301" s="260"/>
      <c r="E301" t="s">
        <v>410</v>
      </c>
      <c r="F301" t="s">
        <v>2137</v>
      </c>
      <c r="G301" s="177" t="s">
        <v>688</v>
      </c>
      <c r="H301" s="177" t="s">
        <v>146</v>
      </c>
      <c r="I301" s="177" t="s">
        <v>109</v>
      </c>
      <c r="J301" s="177" t="s">
        <v>109</v>
      </c>
      <c r="K301" s="177" t="s">
        <v>114</v>
      </c>
      <c r="L301" s="177" t="s">
        <v>2138</v>
      </c>
      <c r="M301" s="177" t="s">
        <v>109</v>
      </c>
      <c r="N301" s="177" t="s">
        <v>109</v>
      </c>
      <c r="O301" s="180" t="s">
        <v>2139</v>
      </c>
      <c r="P301" s="177" t="s">
        <v>2140</v>
      </c>
      <c r="Q301" s="177" t="s">
        <v>109</v>
      </c>
      <c r="R301" s="177" t="s">
        <v>109</v>
      </c>
      <c r="S301" s="177" t="s">
        <v>109</v>
      </c>
      <c r="T301" s="177" t="s">
        <v>116</v>
      </c>
      <c r="U301" s="177" t="s">
        <v>117</v>
      </c>
      <c r="V301" s="177" t="b">
        <v>0</v>
      </c>
      <c r="W301" s="177" t="s">
        <v>123</v>
      </c>
      <c r="X301" s="261"/>
      <c r="Y301" s="177">
        <v>0.1</v>
      </c>
      <c r="Z301" s="177" t="s">
        <v>109</v>
      </c>
      <c r="AA301" s="177" t="s">
        <v>215</v>
      </c>
      <c r="AB301" s="177" t="s">
        <v>109</v>
      </c>
      <c r="AC301" s="177">
        <v>4.0999999999999996</v>
      </c>
      <c r="AD301" s="177" t="s">
        <v>2141</v>
      </c>
      <c r="AE301" s="177" t="s">
        <v>2131</v>
      </c>
      <c r="AF301" s="177">
        <v>1</v>
      </c>
      <c r="AG301" s="177">
        <v>21135</v>
      </c>
      <c r="AH301" s="177" t="s">
        <v>121</v>
      </c>
      <c r="AI301" s="177" t="b">
        <v>1</v>
      </c>
      <c r="AJ301" s="180">
        <v>44775</v>
      </c>
      <c r="AK301" s="177" t="s">
        <v>122</v>
      </c>
      <c r="AL301" s="177">
        <v>2023</v>
      </c>
      <c r="AM301" s="177" t="s">
        <v>109</v>
      </c>
      <c r="AN301" s="177" t="b">
        <v>0</v>
      </c>
      <c r="AO301" s="177" t="s">
        <v>109</v>
      </c>
      <c r="AP301" s="177" t="s">
        <v>109</v>
      </c>
      <c r="AQ301" s="177" t="s">
        <v>109</v>
      </c>
      <c r="AR301" s="177" t="b">
        <v>0</v>
      </c>
      <c r="AS301" s="177" t="s">
        <v>123</v>
      </c>
      <c r="AT301" s="180" t="s">
        <v>123</v>
      </c>
      <c r="AU301" s="177" t="s">
        <v>124</v>
      </c>
      <c r="AV301" s="177" t="s">
        <v>109</v>
      </c>
      <c r="AW301" s="177" t="s">
        <v>118</v>
      </c>
      <c r="AX301" s="177" t="s">
        <v>118</v>
      </c>
      <c r="AY301" s="177" t="s">
        <v>135</v>
      </c>
      <c r="AZ301" s="177" t="s">
        <v>109</v>
      </c>
      <c r="BA301" s="177" t="s">
        <v>125</v>
      </c>
      <c r="BB301" s="177" t="s">
        <v>109</v>
      </c>
      <c r="BC301" s="177" t="s">
        <v>425</v>
      </c>
      <c r="BD301" s="177" t="s">
        <v>109</v>
      </c>
      <c r="BE301" s="180" t="s">
        <v>2142</v>
      </c>
      <c r="BF301" s="180" t="s">
        <v>453</v>
      </c>
      <c r="BG301" s="180" t="s">
        <v>2143</v>
      </c>
      <c r="BH301" s="177" t="s">
        <v>109</v>
      </c>
      <c r="BI301" s="177" t="s">
        <v>109</v>
      </c>
      <c r="BJ301" s="177" t="b">
        <v>0</v>
      </c>
      <c r="BK301" s="233">
        <v>2143.43235</v>
      </c>
      <c r="BL301" s="234" t="s">
        <v>128</v>
      </c>
      <c r="BM301" s="233">
        <v>865.12264078512101</v>
      </c>
      <c r="BN301" s="233">
        <v>0</v>
      </c>
      <c r="BO301" s="233">
        <v>0</v>
      </c>
      <c r="BP301" s="233">
        <v>20.405480000000001</v>
      </c>
      <c r="BQ301" s="233">
        <v>479.08688999999998</v>
      </c>
      <c r="BR301" s="233">
        <v>278.96530999999999</v>
      </c>
      <c r="BS301" s="233">
        <v>-41.359740000000002</v>
      </c>
      <c r="BT301" s="233">
        <v>31.267869600000001</v>
      </c>
      <c r="BU301" s="233">
        <v>45.048284000000002</v>
      </c>
      <c r="BV301" s="233">
        <v>49.210153900000002</v>
      </c>
      <c r="BW301" s="233">
        <v>2.4983933999999999</v>
      </c>
      <c r="BX301" s="233">
        <v>0</v>
      </c>
      <c r="BY301" s="234">
        <v>737</v>
      </c>
      <c r="BZ301" s="236" t="s">
        <v>109</v>
      </c>
      <c r="CA301" s="236" t="s">
        <v>109</v>
      </c>
      <c r="CB301" s="236" t="s">
        <v>109</v>
      </c>
      <c r="CC301" s="233">
        <v>0</v>
      </c>
      <c r="CD301" s="233">
        <v>0</v>
      </c>
      <c r="CE301" s="233">
        <v>0</v>
      </c>
      <c r="CF301" s="233">
        <v>0</v>
      </c>
      <c r="CG301" s="233">
        <v>0</v>
      </c>
      <c r="CH301" s="233">
        <v>0</v>
      </c>
      <c r="CI301" s="233">
        <v>0</v>
      </c>
      <c r="CJ301" s="237">
        <v>0</v>
      </c>
      <c r="CK301" s="177" t="s">
        <v>128</v>
      </c>
      <c r="CL301" s="177" t="s">
        <v>128</v>
      </c>
      <c r="CM301" s="155" t="s">
        <v>109</v>
      </c>
      <c r="CN301" s="229">
        <v>0</v>
      </c>
      <c r="CO301" s="229">
        <v>1</v>
      </c>
      <c r="CP301" t="s">
        <v>155</v>
      </c>
      <c r="CR301" s="248"/>
    </row>
    <row r="302" spans="1:96" ht="14.4" x14ac:dyDescent="0.3">
      <c r="A302">
        <v>299</v>
      </c>
      <c r="B302" s="173" t="s">
        <v>2144</v>
      </c>
      <c r="C302" s="259"/>
      <c r="D302" s="260"/>
      <c r="E302" t="s">
        <v>109</v>
      </c>
      <c r="F302" t="s">
        <v>2145</v>
      </c>
      <c r="G302" s="177" t="s">
        <v>111</v>
      </c>
      <c r="H302" s="177" t="s">
        <v>112</v>
      </c>
      <c r="I302" s="177" t="s">
        <v>112</v>
      </c>
      <c r="J302" s="177" t="s">
        <v>109</v>
      </c>
      <c r="K302" s="177" t="s">
        <v>192</v>
      </c>
      <c r="L302" s="177" t="s">
        <v>193</v>
      </c>
      <c r="M302" s="177" t="s">
        <v>194</v>
      </c>
      <c r="N302" s="177" t="s">
        <v>194</v>
      </c>
      <c r="O302" s="180" t="s">
        <v>109</v>
      </c>
      <c r="P302" s="177" t="s">
        <v>109</v>
      </c>
      <c r="Q302" s="177" t="s">
        <v>109</v>
      </c>
      <c r="R302" s="177" t="s">
        <v>109</v>
      </c>
      <c r="S302" s="177" t="s">
        <v>109</v>
      </c>
      <c r="T302" s="177" t="s">
        <v>109</v>
      </c>
      <c r="U302" s="177" t="s">
        <v>117</v>
      </c>
      <c r="V302" s="177" t="b">
        <v>0</v>
      </c>
      <c r="W302" s="177" t="s">
        <v>109</v>
      </c>
      <c r="X302" s="261"/>
      <c r="Y302" s="177" t="s">
        <v>109</v>
      </c>
      <c r="Z302" s="177" t="s">
        <v>118</v>
      </c>
      <c r="AA302" s="177" t="s">
        <v>109</v>
      </c>
      <c r="AB302" s="177" t="s">
        <v>109</v>
      </c>
      <c r="AC302" s="177">
        <v>4.0999999999999996</v>
      </c>
      <c r="AD302" s="177" t="s">
        <v>2146</v>
      </c>
      <c r="AE302" s="177" t="s">
        <v>2131</v>
      </c>
      <c r="AF302" s="177">
        <v>1</v>
      </c>
      <c r="AG302" s="177">
        <v>21135</v>
      </c>
      <c r="AH302" s="177" t="s">
        <v>121</v>
      </c>
      <c r="AI302" s="177" t="b">
        <v>1</v>
      </c>
      <c r="AJ302" s="180">
        <v>43164</v>
      </c>
      <c r="AK302" s="177" t="s">
        <v>122</v>
      </c>
      <c r="AL302" s="177">
        <v>2019</v>
      </c>
      <c r="AM302" s="177" t="s">
        <v>109</v>
      </c>
      <c r="AN302" s="179" t="b">
        <v>0</v>
      </c>
      <c r="AO302" s="177" t="s">
        <v>109</v>
      </c>
      <c r="AP302" s="177" t="s">
        <v>109</v>
      </c>
      <c r="AQ302" s="177" t="s">
        <v>109</v>
      </c>
      <c r="AR302" s="177" t="b">
        <v>0</v>
      </c>
      <c r="AS302" s="177" t="s">
        <v>123</v>
      </c>
      <c r="AT302" s="180" t="s">
        <v>109</v>
      </c>
      <c r="AU302" s="177" t="s">
        <v>124</v>
      </c>
      <c r="AV302" s="177" t="s">
        <v>109</v>
      </c>
      <c r="AW302" s="177" t="s">
        <v>195</v>
      </c>
      <c r="AX302" s="177" t="s">
        <v>109</v>
      </c>
      <c r="AY302" s="177" t="s">
        <v>135</v>
      </c>
      <c r="AZ302" s="177" t="s">
        <v>109</v>
      </c>
      <c r="BA302" s="177" t="s">
        <v>125</v>
      </c>
      <c r="BB302" s="177" t="s">
        <v>109</v>
      </c>
      <c r="BC302" s="177" t="s">
        <v>296</v>
      </c>
      <c r="BD302" s="177" t="s">
        <v>109</v>
      </c>
      <c r="BE302" s="180" t="s">
        <v>109</v>
      </c>
      <c r="BF302" s="180" t="s">
        <v>109</v>
      </c>
      <c r="BG302" s="180">
        <v>43888</v>
      </c>
      <c r="BH302" s="177" t="s">
        <v>138</v>
      </c>
      <c r="BI302" s="177" t="s">
        <v>138</v>
      </c>
      <c r="BJ302" s="177" t="b">
        <v>0</v>
      </c>
      <c r="BK302" s="233">
        <v>750</v>
      </c>
      <c r="BL302" s="234" t="s">
        <v>128</v>
      </c>
      <c r="BM302" s="236">
        <v>1371.414</v>
      </c>
      <c r="BN302" s="236">
        <v>356.08893</v>
      </c>
      <c r="BO302" s="236">
        <v>39.920310000000001</v>
      </c>
      <c r="BP302" s="236">
        <v>0</v>
      </c>
      <c r="BQ302" s="236">
        <v>4.6037800000000004</v>
      </c>
      <c r="BR302" s="236">
        <v>0</v>
      </c>
      <c r="BS302" s="236">
        <v>0</v>
      </c>
      <c r="BT302" s="236">
        <v>0</v>
      </c>
      <c r="BU302" s="236">
        <v>0</v>
      </c>
      <c r="BV302" s="236">
        <v>0</v>
      </c>
      <c r="BW302" s="236">
        <v>0</v>
      </c>
      <c r="BX302" s="236">
        <v>0</v>
      </c>
      <c r="BY302" s="234">
        <v>0</v>
      </c>
      <c r="BZ302" s="236" t="s">
        <v>109</v>
      </c>
      <c r="CA302" s="236" t="s">
        <v>109</v>
      </c>
      <c r="CB302" s="236" t="s">
        <v>2147</v>
      </c>
      <c r="CC302" s="236">
        <v>1326.8899100000001</v>
      </c>
      <c r="CD302" s="236">
        <v>39.920310000000001</v>
      </c>
      <c r="CE302" s="236">
        <v>0</v>
      </c>
      <c r="CF302" s="236">
        <v>4.6037800000000004</v>
      </c>
      <c r="CG302" s="236">
        <v>0</v>
      </c>
      <c r="CH302" s="236">
        <v>0</v>
      </c>
      <c r="CI302" s="236">
        <v>0</v>
      </c>
      <c r="CJ302" s="237">
        <v>0</v>
      </c>
      <c r="CK302" s="237">
        <v>0</v>
      </c>
      <c r="CL302" s="177" t="s">
        <v>128</v>
      </c>
      <c r="CM302" s="155" t="s">
        <v>109</v>
      </c>
      <c r="CN302" s="229">
        <v>0</v>
      </c>
      <c r="CO302" s="229">
        <v>0</v>
      </c>
      <c r="CP302" t="s">
        <v>197</v>
      </c>
      <c r="CR302" s="248"/>
    </row>
    <row r="303" spans="1:96" ht="14.4" x14ac:dyDescent="0.3">
      <c r="A303">
        <v>300</v>
      </c>
      <c r="B303" s="173" t="s">
        <v>2149</v>
      </c>
      <c r="C303" s="259"/>
      <c r="D303" s="260"/>
      <c r="E303" t="s">
        <v>109</v>
      </c>
      <c r="F303" t="s">
        <v>2150</v>
      </c>
      <c r="G303" s="177" t="s">
        <v>661</v>
      </c>
      <c r="H303" s="177" t="s">
        <v>113</v>
      </c>
      <c r="I303" s="177" t="s">
        <v>146</v>
      </c>
      <c r="J303" s="177" t="s">
        <v>109</v>
      </c>
      <c r="K303" s="177" t="s">
        <v>234</v>
      </c>
      <c r="L303" s="177" t="s">
        <v>251</v>
      </c>
      <c r="M303" s="177" t="s">
        <v>109</v>
      </c>
      <c r="N303" s="177" t="s">
        <v>109</v>
      </c>
      <c r="O303" s="180" t="s">
        <v>109</v>
      </c>
      <c r="P303" s="177" t="s">
        <v>109</v>
      </c>
      <c r="Q303" s="177" t="s">
        <v>109</v>
      </c>
      <c r="R303" s="177" t="s">
        <v>109</v>
      </c>
      <c r="S303" s="177" t="s">
        <v>109</v>
      </c>
      <c r="T303" s="177" t="s">
        <v>285</v>
      </c>
      <c r="U303" s="177" t="s">
        <v>918</v>
      </c>
      <c r="V303" s="177" t="b">
        <v>0</v>
      </c>
      <c r="W303" s="177" t="s">
        <v>109</v>
      </c>
      <c r="X303" s="261"/>
      <c r="Y303" s="177" t="s">
        <v>118</v>
      </c>
      <c r="Z303" s="177" t="s">
        <v>118</v>
      </c>
      <c r="AA303" s="177" t="s">
        <v>119</v>
      </c>
      <c r="AB303" s="177" t="s">
        <v>109</v>
      </c>
      <c r="AC303" s="177">
        <v>1.1000000000000001</v>
      </c>
      <c r="AD303" s="177" t="s">
        <v>119</v>
      </c>
      <c r="AE303" s="177" t="s">
        <v>2151</v>
      </c>
      <c r="AF303" s="177">
        <v>1</v>
      </c>
      <c r="AG303" s="177">
        <v>21136</v>
      </c>
      <c r="AH303" s="177" t="s">
        <v>121</v>
      </c>
      <c r="AI303" s="177" t="b">
        <v>1</v>
      </c>
      <c r="AJ303" s="180">
        <v>45642</v>
      </c>
      <c r="AK303" s="177" t="s">
        <v>122</v>
      </c>
      <c r="AL303" s="177" t="s">
        <v>109</v>
      </c>
      <c r="AM303" s="177" t="s">
        <v>109</v>
      </c>
      <c r="AN303" s="177" t="b">
        <v>0</v>
      </c>
      <c r="AO303" s="177" t="s">
        <v>109</v>
      </c>
      <c r="AP303" s="177" t="s">
        <v>109</v>
      </c>
      <c r="AQ303" s="177" t="s">
        <v>118</v>
      </c>
      <c r="AR303" s="177" t="b">
        <v>0</v>
      </c>
      <c r="AS303" s="177" t="s">
        <v>123</v>
      </c>
      <c r="AT303" s="180" t="s">
        <v>123</v>
      </c>
      <c r="AU303" s="177" t="s">
        <v>124</v>
      </c>
      <c r="AV303" s="177" t="s">
        <v>109</v>
      </c>
      <c r="AW303" s="177" t="s">
        <v>118</v>
      </c>
      <c r="AX303" s="177" t="s">
        <v>118</v>
      </c>
      <c r="AY303" s="177" t="s">
        <v>109</v>
      </c>
      <c r="AZ303" s="177" t="s">
        <v>109</v>
      </c>
      <c r="BA303" s="177" t="s">
        <v>125</v>
      </c>
      <c r="BB303" s="177" t="s">
        <v>109</v>
      </c>
      <c r="BC303" s="177" t="s">
        <v>126</v>
      </c>
      <c r="BD303" s="177" t="s">
        <v>109</v>
      </c>
      <c r="BE303" s="180" t="s">
        <v>109</v>
      </c>
      <c r="BF303" s="180" t="s">
        <v>127</v>
      </c>
      <c r="BG303" s="180" t="s">
        <v>119</v>
      </c>
      <c r="BH303" s="177" t="s">
        <v>109</v>
      </c>
      <c r="BI303" s="177" t="s">
        <v>109</v>
      </c>
      <c r="BJ303" s="177" t="b">
        <v>1</v>
      </c>
      <c r="BK303" s="233" t="s">
        <v>118</v>
      </c>
      <c r="BL303" s="234" t="s">
        <v>128</v>
      </c>
      <c r="BM303" s="233">
        <f>80977.6022278115-BM304</f>
        <v>79259.801507811499</v>
      </c>
      <c r="BN303" s="235">
        <f>1169.13073-BN304</f>
        <v>1169.1307300000001</v>
      </c>
      <c r="BO303" s="235">
        <f>887.15188-BO304</f>
        <v>887.15188000000001</v>
      </c>
      <c r="BP303" s="235">
        <f>3173.47094-BP304</f>
        <v>1638.4009100000001</v>
      </c>
      <c r="BQ303" s="235">
        <f>3590.20182-BQ304</f>
        <v>3392.3939600000003</v>
      </c>
      <c r="BR303" s="235">
        <f>3990.63109-BR304</f>
        <v>4010.8919900000001</v>
      </c>
      <c r="BS303" s="235">
        <f>785.08622-BS304</f>
        <v>779.90249000000006</v>
      </c>
      <c r="BT303" s="235">
        <f>5124.9053586-BT304</f>
        <v>5124.9053586</v>
      </c>
      <c r="BU303" s="235">
        <f>6095.7601734-BU304</f>
        <v>6095.7601734</v>
      </c>
      <c r="BV303" s="235">
        <f>4640.9585173-BV304</f>
        <v>4640.9585172999996</v>
      </c>
      <c r="BW303" s="235">
        <f>5208.930679-BW304</f>
        <v>5208.9306790000001</v>
      </c>
      <c r="BX303" s="235">
        <f>5784.0805665-BX304</f>
        <v>5784.0805664999998</v>
      </c>
      <c r="BY303" s="234">
        <v>2148.22577</v>
      </c>
      <c r="BZ303" s="236" t="s">
        <v>109</v>
      </c>
      <c r="CA303" s="236" t="s">
        <v>109</v>
      </c>
      <c r="CB303" s="236" t="s">
        <v>129</v>
      </c>
      <c r="CC303" s="235">
        <f>803.40851-CC304</f>
        <v>803.40850999999998</v>
      </c>
      <c r="CD303" s="235">
        <f>1263.92701-CD304</f>
        <v>1263.9270100000001</v>
      </c>
      <c r="CE303" s="235">
        <f>748.78438-CE304</f>
        <v>748.78438000000006</v>
      </c>
      <c r="CF303" s="235">
        <f>2830.80889-CF304</f>
        <v>2830.8088899999998</v>
      </c>
      <c r="CG303" s="235">
        <f>5579.69382-CG304</f>
        <v>3867.0768300000004</v>
      </c>
      <c r="CH303" s="235">
        <f>772.31759-CH304</f>
        <v>767.13386000000003</v>
      </c>
      <c r="CI303" s="235">
        <f>951.7784321-CI304</f>
        <v>951.77843210000003</v>
      </c>
      <c r="CJ303" s="237">
        <v>0</v>
      </c>
      <c r="CK303" s="177" t="s">
        <v>128</v>
      </c>
      <c r="CL303" s="177">
        <v>1.4</v>
      </c>
      <c r="CM303" s="155" t="s">
        <v>109</v>
      </c>
      <c r="CN303" s="229">
        <v>0.13550000000000001</v>
      </c>
      <c r="CO303" s="229">
        <v>0.86450000000000005</v>
      </c>
      <c r="CP303" t="s">
        <v>155</v>
      </c>
      <c r="CR303" s="248"/>
    </row>
    <row r="304" spans="1:96" ht="14.4" x14ac:dyDescent="0.3">
      <c r="A304">
        <v>301</v>
      </c>
      <c r="B304" s="173" t="s">
        <v>2152</v>
      </c>
      <c r="C304" s="259"/>
      <c r="D304" s="260"/>
      <c r="E304" t="s">
        <v>191</v>
      </c>
      <c r="F304" t="s">
        <v>2154</v>
      </c>
      <c r="G304" s="177" t="s">
        <v>186</v>
      </c>
      <c r="H304" s="177" t="s">
        <v>113</v>
      </c>
      <c r="I304" s="177" t="s">
        <v>109</v>
      </c>
      <c r="J304" s="177" t="s">
        <v>109</v>
      </c>
      <c r="K304" s="177" t="s">
        <v>234</v>
      </c>
      <c r="L304" s="177" t="s">
        <v>188</v>
      </c>
      <c r="M304" s="177" t="s">
        <v>109</v>
      </c>
      <c r="N304" s="177" t="s">
        <v>109</v>
      </c>
      <c r="O304" s="180" t="s">
        <v>109</v>
      </c>
      <c r="P304" s="177" t="s">
        <v>926</v>
      </c>
      <c r="Q304" s="177" t="s">
        <v>109</v>
      </c>
      <c r="R304" s="177" t="s">
        <v>109</v>
      </c>
      <c r="S304" s="177" t="s">
        <v>109</v>
      </c>
      <c r="T304" s="177" t="s">
        <v>404</v>
      </c>
      <c r="U304" s="177" t="s">
        <v>2155</v>
      </c>
      <c r="V304" s="177" t="b">
        <v>0</v>
      </c>
      <c r="W304" s="177" t="s">
        <v>109</v>
      </c>
      <c r="X304" s="261"/>
      <c r="Y304" s="177" t="s">
        <v>109</v>
      </c>
      <c r="Z304" s="177" t="s">
        <v>109</v>
      </c>
      <c r="AA304" s="177" t="s">
        <v>109</v>
      </c>
      <c r="AB304" s="177" t="s">
        <v>109</v>
      </c>
      <c r="AC304" s="177">
        <v>1.1000000000000001</v>
      </c>
      <c r="AD304" s="177" t="s">
        <v>2156</v>
      </c>
      <c r="AE304" s="177" t="s">
        <v>2151</v>
      </c>
      <c r="AF304" s="177">
        <v>1</v>
      </c>
      <c r="AG304" s="177">
        <v>21136</v>
      </c>
      <c r="AH304" s="177" t="s">
        <v>121</v>
      </c>
      <c r="AI304" s="177" t="b">
        <v>1</v>
      </c>
      <c r="AJ304" s="180">
        <v>44882</v>
      </c>
      <c r="AK304" s="177" t="s">
        <v>122</v>
      </c>
      <c r="AL304" s="177" t="s">
        <v>109</v>
      </c>
      <c r="AM304" s="177" t="s">
        <v>109</v>
      </c>
      <c r="AN304" s="177" t="b">
        <v>0</v>
      </c>
      <c r="AO304" s="177" t="s">
        <v>109</v>
      </c>
      <c r="AP304" s="177" t="s">
        <v>109</v>
      </c>
      <c r="AQ304" s="177" t="s">
        <v>109</v>
      </c>
      <c r="AR304" s="177" t="b">
        <v>0</v>
      </c>
      <c r="AS304" s="177" t="s">
        <v>123</v>
      </c>
      <c r="AT304" s="180" t="s">
        <v>123</v>
      </c>
      <c r="AU304" s="177" t="s">
        <v>124</v>
      </c>
      <c r="AV304" s="177" t="s">
        <v>109</v>
      </c>
      <c r="AW304" s="177" t="s">
        <v>109</v>
      </c>
      <c r="AX304" s="177" t="s">
        <v>109</v>
      </c>
      <c r="AY304" s="177" t="s">
        <v>135</v>
      </c>
      <c r="AZ304" s="177" t="s">
        <v>109</v>
      </c>
      <c r="BA304" s="177" t="s">
        <v>125</v>
      </c>
      <c r="BB304" s="177" t="s">
        <v>109</v>
      </c>
      <c r="BC304" s="177" t="s">
        <v>126</v>
      </c>
      <c r="BD304" s="177" t="s">
        <v>109</v>
      </c>
      <c r="BE304" s="180" t="s">
        <v>2157</v>
      </c>
      <c r="BF304" s="180" t="s">
        <v>453</v>
      </c>
      <c r="BG304" s="180" t="s">
        <v>1751</v>
      </c>
      <c r="BH304" s="177" t="s">
        <v>109</v>
      </c>
      <c r="BI304" s="177" t="s">
        <v>109</v>
      </c>
      <c r="BJ304" s="177" t="b">
        <v>1</v>
      </c>
      <c r="BK304" s="233">
        <v>1606.9350199999999</v>
      </c>
      <c r="BL304" s="234" t="s">
        <v>128</v>
      </c>
      <c r="BM304" s="233">
        <v>1717.80072</v>
      </c>
      <c r="BN304" s="233">
        <v>0</v>
      </c>
      <c r="BO304" s="233">
        <v>0</v>
      </c>
      <c r="BP304" s="233">
        <v>1535.0700300000001</v>
      </c>
      <c r="BQ304" s="233">
        <v>197.80786000000001</v>
      </c>
      <c r="BR304" s="233">
        <v>-20.260899999999999</v>
      </c>
      <c r="BS304" s="233">
        <v>5.1837299999999997</v>
      </c>
      <c r="BT304" s="233">
        <v>0</v>
      </c>
      <c r="BU304" s="233">
        <v>0</v>
      </c>
      <c r="BV304" s="233">
        <v>0</v>
      </c>
      <c r="BW304" s="233">
        <v>0</v>
      </c>
      <c r="BX304" s="233">
        <v>0</v>
      </c>
      <c r="BY304" s="234">
        <v>0</v>
      </c>
      <c r="BZ304" s="236" t="s">
        <v>109</v>
      </c>
      <c r="CA304" s="236" t="s">
        <v>109</v>
      </c>
      <c r="CB304" s="233" t="s">
        <v>196</v>
      </c>
      <c r="CC304" s="233">
        <v>0</v>
      </c>
      <c r="CD304" s="233">
        <v>0</v>
      </c>
      <c r="CE304" s="233">
        <v>0</v>
      </c>
      <c r="CF304" s="233">
        <v>0</v>
      </c>
      <c r="CG304" s="233">
        <v>1712.61699</v>
      </c>
      <c r="CH304" s="233">
        <v>5.1837299999999997</v>
      </c>
      <c r="CI304" s="233">
        <v>0</v>
      </c>
      <c r="CJ304" s="237">
        <v>0</v>
      </c>
      <c r="CK304" s="177" t="s">
        <v>128</v>
      </c>
      <c r="CL304" s="177" t="s">
        <v>128</v>
      </c>
      <c r="CM304" s="155" t="s">
        <v>109</v>
      </c>
      <c r="CN304" s="229">
        <v>0</v>
      </c>
      <c r="CO304" s="229">
        <v>0</v>
      </c>
      <c r="CP304" t="s">
        <v>155</v>
      </c>
      <c r="CR304" s="248"/>
    </row>
    <row r="305" spans="1:96" ht="14.4" x14ac:dyDescent="0.3">
      <c r="A305">
        <v>302</v>
      </c>
      <c r="B305" s="173" t="s">
        <v>2158</v>
      </c>
      <c r="C305" s="259"/>
      <c r="D305" s="260"/>
      <c r="E305" t="s">
        <v>191</v>
      </c>
      <c r="F305" t="s">
        <v>2159</v>
      </c>
      <c r="G305" s="177" t="s">
        <v>2002</v>
      </c>
      <c r="H305" s="177" t="s">
        <v>113</v>
      </c>
      <c r="I305" s="177" t="s">
        <v>146</v>
      </c>
      <c r="J305" s="177" t="s">
        <v>109</v>
      </c>
      <c r="K305" s="177" t="s">
        <v>234</v>
      </c>
      <c r="L305" s="177" t="s">
        <v>115</v>
      </c>
      <c r="M305" s="177" t="s">
        <v>109</v>
      </c>
      <c r="N305" s="177" t="s">
        <v>109</v>
      </c>
      <c r="O305" s="180">
        <v>45786</v>
      </c>
      <c r="P305" s="177" t="s">
        <v>2064</v>
      </c>
      <c r="Q305" s="177" t="s">
        <v>109</v>
      </c>
      <c r="R305" s="177" t="s">
        <v>725</v>
      </c>
      <c r="S305" s="177" t="s">
        <v>109</v>
      </c>
      <c r="T305" s="177" t="s">
        <v>310</v>
      </c>
      <c r="U305" s="177" t="s">
        <v>117</v>
      </c>
      <c r="V305" s="177" t="b">
        <v>0</v>
      </c>
      <c r="W305" s="177" t="s">
        <v>109</v>
      </c>
      <c r="X305" s="261"/>
      <c r="Y305" s="177" t="s">
        <v>118</v>
      </c>
      <c r="Z305" s="176">
        <v>40.94</v>
      </c>
      <c r="AA305" s="177">
        <v>500</v>
      </c>
      <c r="AB305" s="177" t="s">
        <v>2160</v>
      </c>
      <c r="AC305" s="177">
        <v>4.0999999999999996</v>
      </c>
      <c r="AD305" s="177" t="s">
        <v>2161</v>
      </c>
      <c r="AE305" s="177" t="s">
        <v>2162</v>
      </c>
      <c r="AF305" s="177">
        <v>1</v>
      </c>
      <c r="AG305" s="177">
        <v>21137</v>
      </c>
      <c r="AH305" s="177" t="s">
        <v>121</v>
      </c>
      <c r="AI305" s="177" t="b">
        <v>1</v>
      </c>
      <c r="AJ305" s="180">
        <v>44761</v>
      </c>
      <c r="AK305" s="177" t="s">
        <v>122</v>
      </c>
      <c r="AL305" s="177">
        <v>2021</v>
      </c>
      <c r="AM305" s="177" t="s">
        <v>109</v>
      </c>
      <c r="AN305" s="177" t="b">
        <v>0</v>
      </c>
      <c r="AO305" s="177" t="s">
        <v>109</v>
      </c>
      <c r="AP305" s="177" t="s">
        <v>109</v>
      </c>
      <c r="AQ305" s="177" t="s">
        <v>118</v>
      </c>
      <c r="AR305" s="177" t="b">
        <v>0</v>
      </c>
      <c r="AS305" s="177" t="s">
        <v>123</v>
      </c>
      <c r="AT305" s="180" t="s">
        <v>123</v>
      </c>
      <c r="AU305" s="177" t="s">
        <v>124</v>
      </c>
      <c r="AV305" s="177" t="s">
        <v>109</v>
      </c>
      <c r="AW305" s="177" t="s">
        <v>118</v>
      </c>
      <c r="AX305" s="177" t="s">
        <v>118</v>
      </c>
      <c r="AY305" s="177" t="s">
        <v>135</v>
      </c>
      <c r="AZ305" s="177" t="s">
        <v>109</v>
      </c>
      <c r="BA305" s="177" t="s">
        <v>125</v>
      </c>
      <c r="BB305" s="177" t="s">
        <v>109</v>
      </c>
      <c r="BC305" s="177" t="s">
        <v>126</v>
      </c>
      <c r="BD305" s="177" t="s">
        <v>109</v>
      </c>
      <c r="BE305" s="180" t="s">
        <v>881</v>
      </c>
      <c r="BF305" s="180" t="s">
        <v>1549</v>
      </c>
      <c r="BG305" s="180" t="s">
        <v>1549</v>
      </c>
      <c r="BH305" s="177" t="s">
        <v>138</v>
      </c>
      <c r="BI305" s="177" t="s">
        <v>109</v>
      </c>
      <c r="BJ305" s="177" t="b">
        <v>0</v>
      </c>
      <c r="BK305" s="233">
        <v>2699</v>
      </c>
      <c r="BL305" s="234" t="s">
        <v>128</v>
      </c>
      <c r="BM305" s="233">
        <v>2111.8255100000001</v>
      </c>
      <c r="BN305" s="233">
        <v>0</v>
      </c>
      <c r="BO305" s="233">
        <v>1904.5132100000001</v>
      </c>
      <c r="BP305" s="233">
        <v>207.31229999999999</v>
      </c>
      <c r="BQ305" s="233">
        <v>0</v>
      </c>
      <c r="BR305" s="233">
        <v>0</v>
      </c>
      <c r="BS305" s="233">
        <v>0</v>
      </c>
      <c r="BT305" s="233">
        <v>0</v>
      </c>
      <c r="BU305" s="233">
        <v>0</v>
      </c>
      <c r="BV305" s="233">
        <v>0</v>
      </c>
      <c r="BW305" s="233">
        <v>0</v>
      </c>
      <c r="BX305" s="233">
        <v>0</v>
      </c>
      <c r="BY305" s="234">
        <v>0</v>
      </c>
      <c r="BZ305" s="236" t="s">
        <v>109</v>
      </c>
      <c r="CA305" s="236" t="s">
        <v>109</v>
      </c>
      <c r="CB305" s="236">
        <v>2022</v>
      </c>
      <c r="CC305" s="233">
        <v>0</v>
      </c>
      <c r="CD305" s="233">
        <v>0</v>
      </c>
      <c r="CE305" s="233">
        <v>2111.8255100000001</v>
      </c>
      <c r="CF305" s="233">
        <v>0</v>
      </c>
      <c r="CG305" s="233">
        <v>0</v>
      </c>
      <c r="CH305" s="233">
        <v>0</v>
      </c>
      <c r="CI305" s="233">
        <v>0</v>
      </c>
      <c r="CJ305" s="237">
        <v>0</v>
      </c>
      <c r="CK305" s="177" t="s">
        <v>128</v>
      </c>
      <c r="CL305" s="177" t="s">
        <v>128</v>
      </c>
      <c r="CM305" s="155" t="s">
        <v>109</v>
      </c>
      <c r="CN305" s="229">
        <v>1</v>
      </c>
      <c r="CO305" s="229">
        <v>0</v>
      </c>
      <c r="CP305" t="s">
        <v>337</v>
      </c>
      <c r="CR305" s="248"/>
    </row>
    <row r="306" spans="1:96" ht="14.4" x14ac:dyDescent="0.3">
      <c r="A306">
        <v>303</v>
      </c>
      <c r="B306" s="173" t="s">
        <v>2163</v>
      </c>
      <c r="C306" s="259"/>
      <c r="D306" s="260"/>
      <c r="E306" t="s">
        <v>109</v>
      </c>
      <c r="F306" t="s">
        <v>2164</v>
      </c>
      <c r="G306" s="177" t="s">
        <v>233</v>
      </c>
      <c r="H306" s="177" t="s">
        <v>112</v>
      </c>
      <c r="I306" s="177" t="s">
        <v>109</v>
      </c>
      <c r="J306" s="177" t="s">
        <v>109</v>
      </c>
      <c r="K306" s="177" t="s">
        <v>192</v>
      </c>
      <c r="L306" s="177" t="s">
        <v>214</v>
      </c>
      <c r="M306" s="177" t="s">
        <v>109</v>
      </c>
      <c r="N306" s="177" t="s">
        <v>109</v>
      </c>
      <c r="O306" s="180" t="s">
        <v>109</v>
      </c>
      <c r="P306" s="177" t="s">
        <v>109</v>
      </c>
      <c r="Q306" s="177" t="s">
        <v>109</v>
      </c>
      <c r="R306" s="177" t="s">
        <v>109</v>
      </c>
      <c r="S306" s="177" t="s">
        <v>109</v>
      </c>
      <c r="T306" s="177" t="s">
        <v>116</v>
      </c>
      <c r="U306" s="177" t="s">
        <v>117</v>
      </c>
      <c r="V306" s="177" t="b">
        <v>0</v>
      </c>
      <c r="W306" s="177" t="s">
        <v>109</v>
      </c>
      <c r="X306" s="261"/>
      <c r="Y306" s="177" t="s">
        <v>118</v>
      </c>
      <c r="Z306" s="177" t="s">
        <v>118</v>
      </c>
      <c r="AA306" s="177" t="s">
        <v>119</v>
      </c>
      <c r="AB306" s="177" t="s">
        <v>109</v>
      </c>
      <c r="AC306" s="177">
        <v>1.3</v>
      </c>
      <c r="AD306" s="177" t="s">
        <v>119</v>
      </c>
      <c r="AE306" s="177" t="s">
        <v>2165</v>
      </c>
      <c r="AF306" s="177">
        <v>3</v>
      </c>
      <c r="AG306" s="177">
        <v>21146</v>
      </c>
      <c r="AH306" s="177" t="s">
        <v>121</v>
      </c>
      <c r="AI306" s="177" t="b">
        <v>1</v>
      </c>
      <c r="AJ306" s="180">
        <v>45759</v>
      </c>
      <c r="AK306" s="177" t="s">
        <v>122</v>
      </c>
      <c r="AL306" s="177" t="s">
        <v>109</v>
      </c>
      <c r="AM306" s="177" t="s">
        <v>109</v>
      </c>
      <c r="AN306" s="177" t="b">
        <v>0</v>
      </c>
      <c r="AO306" s="177" t="s">
        <v>109</v>
      </c>
      <c r="AP306" s="177" t="s">
        <v>109</v>
      </c>
      <c r="AQ306" s="177" t="s">
        <v>118</v>
      </c>
      <c r="AR306" s="177" t="b">
        <v>0</v>
      </c>
      <c r="AS306" s="177" t="s">
        <v>109</v>
      </c>
      <c r="AT306" s="180" t="s">
        <v>118</v>
      </c>
      <c r="AU306" s="177" t="s">
        <v>109</v>
      </c>
      <c r="AV306" s="177" t="s">
        <v>109</v>
      </c>
      <c r="AW306" s="177" t="s">
        <v>118</v>
      </c>
      <c r="AX306" s="177" t="s">
        <v>118</v>
      </c>
      <c r="AY306" s="177" t="s">
        <v>109</v>
      </c>
      <c r="AZ306" s="177" t="s">
        <v>109</v>
      </c>
      <c r="BA306" s="177" t="s">
        <v>125</v>
      </c>
      <c r="BB306" s="177" t="s">
        <v>109</v>
      </c>
      <c r="BC306" s="177" t="s">
        <v>126</v>
      </c>
      <c r="BD306" s="177" t="s">
        <v>109</v>
      </c>
      <c r="BE306" s="180" t="s">
        <v>109</v>
      </c>
      <c r="BF306" s="180" t="s">
        <v>127</v>
      </c>
      <c r="BG306" s="180" t="s">
        <v>119</v>
      </c>
      <c r="BH306" s="177" t="s">
        <v>109</v>
      </c>
      <c r="BI306" s="177" t="s">
        <v>109</v>
      </c>
      <c r="BJ306" s="177" t="b">
        <v>1</v>
      </c>
      <c r="BK306" s="233" t="s">
        <v>118</v>
      </c>
      <c r="BL306" s="234" t="s">
        <v>128</v>
      </c>
      <c r="BM306" s="233">
        <f>67202.4014108531-SUM(BM307:BM309)</f>
        <v>15849.2984908531</v>
      </c>
      <c r="BN306" s="235">
        <f>0-SUM(BN307:BN309)</f>
        <v>0</v>
      </c>
      <c r="BO306" s="235">
        <f>11684.99327-SUM(BO307:BO309)</f>
        <v>0</v>
      </c>
      <c r="BP306" s="235">
        <f>8794.49157-SUM(BP307:BP309)</f>
        <v>0</v>
      </c>
      <c r="BQ306" s="235">
        <f>12435.38355-SUM(BQ307:BQ309)</f>
        <v>0</v>
      </c>
      <c r="BR306" s="235">
        <f>8493.41012-SUM(BR307:BR309)</f>
        <v>19.175570000001244</v>
      </c>
      <c r="BS306" s="235">
        <f>10071.47278-SUM(BS307:BS309)</f>
        <v>107.47279999999955</v>
      </c>
      <c r="BT306" s="235">
        <f>15722.6501209-SUM(BT307:BT309)</f>
        <v>902.75577650000014</v>
      </c>
      <c r="BU306" s="235">
        <f>0-SUM(BU307:BU309)</f>
        <v>0</v>
      </c>
      <c r="BV306" s="235">
        <f>0-SUM(BV307:BV309)</f>
        <v>0</v>
      </c>
      <c r="BW306" s="235">
        <f>0-SUM(BW307:BW309)</f>
        <v>0</v>
      </c>
      <c r="BX306" s="235">
        <f>0-SUM(BX307:BX309)</f>
        <v>0</v>
      </c>
      <c r="BY306" s="234">
        <v>100.3449099999998</v>
      </c>
      <c r="BZ306" s="236" t="s">
        <v>109</v>
      </c>
      <c r="CA306" s="236" t="s">
        <v>109</v>
      </c>
      <c r="CB306" s="236" t="s">
        <v>196</v>
      </c>
      <c r="CC306" s="235">
        <f>0-SUM(CC307:CC309)</f>
        <v>0</v>
      </c>
      <c r="CD306" s="235">
        <f>11684.99327-SUM(CD307:CD309)</f>
        <v>0</v>
      </c>
      <c r="CE306" s="235">
        <f>8457.91525-SUM(CE307:CE309)</f>
        <v>0</v>
      </c>
      <c r="CF306" s="235">
        <f>215.55473-SUM(CF307:CF309)</f>
        <v>0</v>
      </c>
      <c r="CG306" s="235">
        <f>21049.81526-SUM(CG307:CG309)</f>
        <v>19.175570000003063</v>
      </c>
      <c r="CH306" s="235">
        <f>10071.47278-SUM(CH307:CH309)</f>
        <v>107.47279999999955</v>
      </c>
      <c r="CI306" s="235">
        <f>15722.6501209-SUM(CI307:CI309)</f>
        <v>902.75577650000014</v>
      </c>
      <c r="CJ306" s="237">
        <v>0</v>
      </c>
      <c r="CK306" s="177" t="s">
        <v>128</v>
      </c>
      <c r="CL306" s="177">
        <v>24.4</v>
      </c>
      <c r="CM306" s="155" t="s">
        <v>109</v>
      </c>
      <c r="CN306" s="229">
        <v>1</v>
      </c>
      <c r="CO306" s="229">
        <v>0</v>
      </c>
      <c r="CP306" t="s">
        <v>2166</v>
      </c>
      <c r="CR306" s="248"/>
    </row>
    <row r="307" spans="1:96" ht="14.4" x14ac:dyDescent="0.3">
      <c r="A307">
        <v>304</v>
      </c>
      <c r="B307" s="173" t="s">
        <v>2167</v>
      </c>
      <c r="C307" s="259"/>
      <c r="D307" s="260"/>
      <c r="E307" t="s">
        <v>109</v>
      </c>
      <c r="F307" t="s">
        <v>2168</v>
      </c>
      <c r="G307" s="177" t="s">
        <v>233</v>
      </c>
      <c r="H307" s="177" t="s">
        <v>112</v>
      </c>
      <c r="I307" s="177" t="s">
        <v>109</v>
      </c>
      <c r="J307" s="177" t="s">
        <v>109</v>
      </c>
      <c r="K307" s="177" t="s">
        <v>114</v>
      </c>
      <c r="L307" s="177" t="s">
        <v>214</v>
      </c>
      <c r="M307" s="177" t="s">
        <v>109</v>
      </c>
      <c r="N307" s="177" t="s">
        <v>109</v>
      </c>
      <c r="O307" s="180" t="s">
        <v>109</v>
      </c>
      <c r="P307" s="177" t="s">
        <v>109</v>
      </c>
      <c r="Q307" s="177" t="s">
        <v>109</v>
      </c>
      <c r="R307" s="177" t="s">
        <v>109</v>
      </c>
      <c r="S307" s="177" t="s">
        <v>109</v>
      </c>
      <c r="T307" s="177" t="s">
        <v>116</v>
      </c>
      <c r="U307" s="177" t="s">
        <v>117</v>
      </c>
      <c r="V307" s="177" t="b">
        <v>0</v>
      </c>
      <c r="W307" s="177" t="s">
        <v>109</v>
      </c>
      <c r="X307" s="261"/>
      <c r="Y307" s="177" t="s">
        <v>118</v>
      </c>
      <c r="Z307" s="177" t="s">
        <v>118</v>
      </c>
      <c r="AA307" s="177" t="s">
        <v>2169</v>
      </c>
      <c r="AB307" s="177" t="s">
        <v>109</v>
      </c>
      <c r="AC307" s="177">
        <v>1.3</v>
      </c>
      <c r="AD307" s="177" t="s">
        <v>2170</v>
      </c>
      <c r="AE307" s="177" t="s">
        <v>2165</v>
      </c>
      <c r="AF307" s="177">
        <v>1</v>
      </c>
      <c r="AG307" s="177">
        <v>21146</v>
      </c>
      <c r="AH307" s="177" t="s">
        <v>121</v>
      </c>
      <c r="AI307" s="177" t="b">
        <v>1</v>
      </c>
      <c r="AJ307" s="180">
        <v>44492</v>
      </c>
      <c r="AK307" s="177" t="s">
        <v>122</v>
      </c>
      <c r="AL307" s="177" t="s">
        <v>109</v>
      </c>
      <c r="AM307" s="177" t="s">
        <v>109</v>
      </c>
      <c r="AN307" s="177" t="b">
        <v>0</v>
      </c>
      <c r="AO307" s="177" t="s">
        <v>109</v>
      </c>
      <c r="AP307" s="177" t="s">
        <v>109</v>
      </c>
      <c r="AQ307" s="177" t="s">
        <v>109</v>
      </c>
      <c r="AR307" s="177" t="b">
        <v>0</v>
      </c>
      <c r="AS307" s="177" t="s">
        <v>109</v>
      </c>
      <c r="AT307" s="180" t="s">
        <v>118</v>
      </c>
      <c r="AU307" s="177" t="s">
        <v>109</v>
      </c>
      <c r="AV307" s="177" t="s">
        <v>109</v>
      </c>
      <c r="AW307" s="177" t="s">
        <v>109</v>
      </c>
      <c r="AX307" s="177" t="s">
        <v>109</v>
      </c>
      <c r="AY307" s="177" t="s">
        <v>135</v>
      </c>
      <c r="AZ307" s="177" t="s">
        <v>109</v>
      </c>
      <c r="BA307" s="177" t="s">
        <v>125</v>
      </c>
      <c r="BB307" s="177" t="s">
        <v>109</v>
      </c>
      <c r="BC307" s="177" t="s">
        <v>126</v>
      </c>
      <c r="BD307" s="177" t="s">
        <v>109</v>
      </c>
      <c r="BE307" s="180" t="s">
        <v>1392</v>
      </c>
      <c r="BF307" s="180" t="s">
        <v>453</v>
      </c>
      <c r="BG307" s="180" t="s">
        <v>1096</v>
      </c>
      <c r="BH307" s="177" t="s">
        <v>521</v>
      </c>
      <c r="BI307" s="177" t="s">
        <v>521</v>
      </c>
      <c r="BJ307" s="177" t="b">
        <v>1</v>
      </c>
      <c r="BK307" s="233">
        <v>12044.5322</v>
      </c>
      <c r="BL307" s="234" t="s">
        <v>128</v>
      </c>
      <c r="BM307" s="233">
        <v>14653.57242</v>
      </c>
      <c r="BN307" s="233">
        <v>0</v>
      </c>
      <c r="BO307" s="233">
        <v>0</v>
      </c>
      <c r="BP307" s="233">
        <v>336.57632000000001</v>
      </c>
      <c r="BQ307" s="233">
        <v>12184.14006</v>
      </c>
      <c r="BR307" s="233">
        <v>2078.2014199999999</v>
      </c>
      <c r="BS307" s="233">
        <v>54.654620000000001</v>
      </c>
      <c r="BT307" s="233">
        <v>0</v>
      </c>
      <c r="BU307" s="233">
        <v>0</v>
      </c>
      <c r="BV307" s="233">
        <v>0</v>
      </c>
      <c r="BW307" s="233">
        <v>0</v>
      </c>
      <c r="BX307" s="233">
        <v>0</v>
      </c>
      <c r="BY307" s="234">
        <v>0</v>
      </c>
      <c r="BZ307" s="236" t="s">
        <v>109</v>
      </c>
      <c r="CA307" s="236" t="s">
        <v>109</v>
      </c>
      <c r="CB307" s="236" t="s">
        <v>196</v>
      </c>
      <c r="CC307" s="233">
        <v>0</v>
      </c>
      <c r="CD307" s="233">
        <v>0</v>
      </c>
      <c r="CE307" s="233">
        <v>0</v>
      </c>
      <c r="CF307" s="233">
        <v>0</v>
      </c>
      <c r="CG307" s="233">
        <v>14598.917799999999</v>
      </c>
      <c r="CH307" s="233">
        <v>54.654620000000001</v>
      </c>
      <c r="CI307" s="233">
        <v>0</v>
      </c>
      <c r="CJ307" s="237">
        <v>0</v>
      </c>
      <c r="CK307" s="177" t="s">
        <v>128</v>
      </c>
      <c r="CL307" s="177" t="s">
        <v>128</v>
      </c>
      <c r="CM307" s="155" t="s">
        <v>109</v>
      </c>
      <c r="CN307" s="229">
        <v>1</v>
      </c>
      <c r="CO307" s="229">
        <v>0</v>
      </c>
      <c r="CP307" t="s">
        <v>2171</v>
      </c>
      <c r="CR307" s="248"/>
    </row>
    <row r="308" spans="1:96" ht="14.4" x14ac:dyDescent="0.3">
      <c r="A308">
        <v>305</v>
      </c>
      <c r="B308" s="173" t="s">
        <v>2172</v>
      </c>
      <c r="C308" s="259"/>
      <c r="D308" s="260"/>
      <c r="E308" t="s">
        <v>109</v>
      </c>
      <c r="F308" t="s">
        <v>2168</v>
      </c>
      <c r="G308" s="177" t="s">
        <v>233</v>
      </c>
      <c r="H308" s="177" t="s">
        <v>112</v>
      </c>
      <c r="I308" s="177" t="s">
        <v>109</v>
      </c>
      <c r="J308" s="177" t="s">
        <v>109</v>
      </c>
      <c r="K308" s="177" t="s">
        <v>114</v>
      </c>
      <c r="L308" s="177" t="s">
        <v>214</v>
      </c>
      <c r="M308" s="177" t="s">
        <v>109</v>
      </c>
      <c r="N308" s="177" t="s">
        <v>109</v>
      </c>
      <c r="O308" s="180" t="s">
        <v>109</v>
      </c>
      <c r="P308" s="177" t="s">
        <v>109</v>
      </c>
      <c r="Q308" s="177" t="s">
        <v>109</v>
      </c>
      <c r="R308" s="177" t="s">
        <v>109</v>
      </c>
      <c r="S308" s="177" t="s">
        <v>109</v>
      </c>
      <c r="T308" s="177" t="s">
        <v>116</v>
      </c>
      <c r="U308" s="177" t="s">
        <v>117</v>
      </c>
      <c r="V308" s="177" t="b">
        <v>0</v>
      </c>
      <c r="W308" s="177" t="s">
        <v>109</v>
      </c>
      <c r="X308" s="261"/>
      <c r="Y308" s="177" t="s">
        <v>118</v>
      </c>
      <c r="Z308" s="177" t="s">
        <v>118</v>
      </c>
      <c r="AA308" s="177" t="s">
        <v>2169</v>
      </c>
      <c r="AB308" s="177" t="s">
        <v>109</v>
      </c>
      <c r="AC308" s="177">
        <v>1.3</v>
      </c>
      <c r="AD308" s="177" t="s">
        <v>2173</v>
      </c>
      <c r="AE308" s="177" t="s">
        <v>2165</v>
      </c>
      <c r="AF308" s="177">
        <v>1</v>
      </c>
      <c r="AG308" s="177">
        <v>21146</v>
      </c>
      <c r="AH308" s="177" t="s">
        <v>121</v>
      </c>
      <c r="AI308" s="177" t="b">
        <v>1</v>
      </c>
      <c r="AJ308" s="180">
        <v>44447</v>
      </c>
      <c r="AK308" s="177" t="s">
        <v>122</v>
      </c>
      <c r="AL308" s="177" t="s">
        <v>109</v>
      </c>
      <c r="AM308" s="177">
        <v>2021</v>
      </c>
      <c r="AN308" s="177" t="b">
        <v>0</v>
      </c>
      <c r="AO308" s="177" t="s">
        <v>109</v>
      </c>
      <c r="AP308" s="177" t="s">
        <v>109</v>
      </c>
      <c r="AQ308" s="177" t="s">
        <v>109</v>
      </c>
      <c r="AR308" s="177" t="b">
        <v>0</v>
      </c>
      <c r="AS308" s="177" t="s">
        <v>109</v>
      </c>
      <c r="AT308" s="180" t="s">
        <v>118</v>
      </c>
      <c r="AU308" s="177" t="s">
        <v>109</v>
      </c>
      <c r="AV308" s="177" t="s">
        <v>109</v>
      </c>
      <c r="AW308" s="177" t="s">
        <v>109</v>
      </c>
      <c r="AX308" s="177" t="s">
        <v>109</v>
      </c>
      <c r="AY308" s="177" t="s">
        <v>135</v>
      </c>
      <c r="AZ308" s="177" t="s">
        <v>109</v>
      </c>
      <c r="BA308" s="177" t="s">
        <v>125</v>
      </c>
      <c r="BB308" s="177" t="s">
        <v>109</v>
      </c>
      <c r="BC308" s="177" t="s">
        <v>126</v>
      </c>
      <c r="BD308" s="177" t="s">
        <v>109</v>
      </c>
      <c r="BE308" s="180" t="s">
        <v>2174</v>
      </c>
      <c r="BF308" s="180" t="s">
        <v>1068</v>
      </c>
      <c r="BG308" s="180" t="s">
        <v>2175</v>
      </c>
      <c r="BH308" s="177" t="s">
        <v>138</v>
      </c>
      <c r="BI308" s="177" t="s">
        <v>138</v>
      </c>
      <c r="BJ308" s="177" t="b">
        <v>1</v>
      </c>
      <c r="BK308" s="233">
        <v>13068.4013</v>
      </c>
      <c r="BL308" s="234" t="s">
        <v>128</v>
      </c>
      <c r="BM308" s="233">
        <v>20476.111199999999</v>
      </c>
      <c r="BN308" s="233">
        <v>0</v>
      </c>
      <c r="BO308" s="233">
        <v>11684.993270000001</v>
      </c>
      <c r="BP308" s="233">
        <v>8457.91525</v>
      </c>
      <c r="BQ308" s="233">
        <v>215.55473000000001</v>
      </c>
      <c r="BR308" s="233">
        <v>117.41672</v>
      </c>
      <c r="BS308" s="233">
        <v>0.23122999999999999</v>
      </c>
      <c r="BT308" s="233">
        <v>0</v>
      </c>
      <c r="BU308" s="233">
        <v>0</v>
      </c>
      <c r="BV308" s="233">
        <v>0</v>
      </c>
      <c r="BW308" s="233">
        <v>0</v>
      </c>
      <c r="BX308" s="233">
        <v>0</v>
      </c>
      <c r="BY308" s="234">
        <v>0</v>
      </c>
      <c r="BZ308" s="236" t="s">
        <v>109</v>
      </c>
      <c r="CA308" s="236" t="s">
        <v>109</v>
      </c>
      <c r="CB308" s="236" t="s">
        <v>842</v>
      </c>
      <c r="CC308" s="233">
        <v>0</v>
      </c>
      <c r="CD308" s="233">
        <v>11684.993270000001</v>
      </c>
      <c r="CE308" s="233">
        <v>8457.91525</v>
      </c>
      <c r="CF308" s="233">
        <v>215.55473000000001</v>
      </c>
      <c r="CG308" s="233">
        <v>117.41672</v>
      </c>
      <c r="CH308" s="233">
        <v>0.23122999999999999</v>
      </c>
      <c r="CI308" s="233">
        <v>0</v>
      </c>
      <c r="CJ308" s="237">
        <v>0</v>
      </c>
      <c r="CK308" s="177" t="s">
        <v>128</v>
      </c>
      <c r="CL308" s="177" t="s">
        <v>128</v>
      </c>
      <c r="CM308" s="155" t="s">
        <v>109</v>
      </c>
      <c r="CN308" s="229">
        <v>1</v>
      </c>
      <c r="CO308" s="229">
        <v>0</v>
      </c>
      <c r="CP308" t="s">
        <v>2176</v>
      </c>
      <c r="CR308" s="248"/>
    </row>
    <row r="309" spans="1:96" ht="14.4" x14ac:dyDescent="0.3">
      <c r="A309">
        <v>306</v>
      </c>
      <c r="B309" s="173" t="s">
        <v>2177</v>
      </c>
      <c r="C309" s="259"/>
      <c r="D309" s="260"/>
      <c r="E309" t="s">
        <v>109</v>
      </c>
      <c r="F309" t="s">
        <v>2178</v>
      </c>
      <c r="G309" s="177" t="s">
        <v>233</v>
      </c>
      <c r="H309" s="177" t="s">
        <v>112</v>
      </c>
      <c r="I309" s="177" t="s">
        <v>109</v>
      </c>
      <c r="J309" s="177" t="s">
        <v>109</v>
      </c>
      <c r="K309" s="177" t="s">
        <v>114</v>
      </c>
      <c r="L309" s="177" t="s">
        <v>214</v>
      </c>
      <c r="M309" s="177" t="s">
        <v>109</v>
      </c>
      <c r="N309" s="177" t="s">
        <v>109</v>
      </c>
      <c r="O309" s="180" t="s">
        <v>109</v>
      </c>
      <c r="P309" s="177" t="s">
        <v>109</v>
      </c>
      <c r="Q309" s="177" t="s">
        <v>109</v>
      </c>
      <c r="R309" s="177" t="s">
        <v>109</v>
      </c>
      <c r="S309" s="177" t="s">
        <v>109</v>
      </c>
      <c r="T309" s="177" t="s">
        <v>116</v>
      </c>
      <c r="U309" s="177" t="s">
        <v>117</v>
      </c>
      <c r="V309" s="177" t="b">
        <v>0</v>
      </c>
      <c r="W309" s="177" t="s">
        <v>109</v>
      </c>
      <c r="X309" s="261"/>
      <c r="Y309" s="177" t="s">
        <v>118</v>
      </c>
      <c r="Z309" s="177" t="s">
        <v>118</v>
      </c>
      <c r="AA309" s="177" t="s">
        <v>2169</v>
      </c>
      <c r="AB309" s="177" t="s">
        <v>109</v>
      </c>
      <c r="AC309" s="177">
        <v>1.3</v>
      </c>
      <c r="AD309" s="177" t="s">
        <v>2179</v>
      </c>
      <c r="AE309" s="177" t="s">
        <v>2165</v>
      </c>
      <c r="AF309" s="177">
        <v>1</v>
      </c>
      <c r="AG309" s="177">
        <v>21146</v>
      </c>
      <c r="AH309" s="177" t="s">
        <v>121</v>
      </c>
      <c r="AI309" s="177" t="b">
        <v>1</v>
      </c>
      <c r="AJ309" s="180">
        <v>45153</v>
      </c>
      <c r="AK309" s="177" t="s">
        <v>122</v>
      </c>
      <c r="AL309" s="177" t="s">
        <v>109</v>
      </c>
      <c r="AM309" s="177">
        <v>2024</v>
      </c>
      <c r="AN309" s="177" t="b">
        <v>0</v>
      </c>
      <c r="AO309" s="177" t="s">
        <v>109</v>
      </c>
      <c r="AP309" s="177" t="s">
        <v>109</v>
      </c>
      <c r="AQ309" s="177" t="s">
        <v>109</v>
      </c>
      <c r="AR309" s="177" t="b">
        <v>0</v>
      </c>
      <c r="AS309" s="177" t="s">
        <v>109</v>
      </c>
      <c r="AT309" s="180" t="s">
        <v>118</v>
      </c>
      <c r="AU309" s="177" t="s">
        <v>109</v>
      </c>
      <c r="AV309" s="177" t="s">
        <v>109</v>
      </c>
      <c r="AW309" s="177" t="s">
        <v>109</v>
      </c>
      <c r="AX309" s="177" t="s">
        <v>109</v>
      </c>
      <c r="AY309" s="177" t="s">
        <v>135</v>
      </c>
      <c r="AZ309" s="177" t="s">
        <v>109</v>
      </c>
      <c r="BA309" s="177" t="s">
        <v>125</v>
      </c>
      <c r="BB309" s="177" t="s">
        <v>109</v>
      </c>
      <c r="BC309" s="177" t="s">
        <v>150</v>
      </c>
      <c r="BD309" s="177" t="s">
        <v>109</v>
      </c>
      <c r="BE309" s="180" t="s">
        <v>2180</v>
      </c>
      <c r="BF309" s="180" t="s">
        <v>127</v>
      </c>
      <c r="BG309" s="180" t="s">
        <v>2181</v>
      </c>
      <c r="BH309" s="177" t="s">
        <v>521</v>
      </c>
      <c r="BI309" s="177" t="s">
        <v>109</v>
      </c>
      <c r="BJ309" s="177" t="b">
        <v>1</v>
      </c>
      <c r="BK309" s="233">
        <v>1126.3554899999999</v>
      </c>
      <c r="BL309" s="234" t="s">
        <v>128</v>
      </c>
      <c r="BM309" s="233">
        <v>16223.4193</v>
      </c>
      <c r="BN309" s="233">
        <v>0</v>
      </c>
      <c r="BO309" s="233">
        <v>0</v>
      </c>
      <c r="BP309" s="233">
        <v>0</v>
      </c>
      <c r="BQ309" s="233">
        <v>35.688760000000002</v>
      </c>
      <c r="BR309" s="233">
        <v>6278.6164099999996</v>
      </c>
      <c r="BS309" s="233">
        <v>9909.1141299999999</v>
      </c>
      <c r="BT309" s="233">
        <v>14819.8943444</v>
      </c>
      <c r="BU309" s="233">
        <v>0</v>
      </c>
      <c r="BV309" s="233">
        <v>0</v>
      </c>
      <c r="BW309" s="233">
        <v>0</v>
      </c>
      <c r="BX309" s="233">
        <v>0</v>
      </c>
      <c r="BY309" s="234">
        <v>0</v>
      </c>
      <c r="BZ309" s="236" t="s">
        <v>109</v>
      </c>
      <c r="CA309" s="236" t="s">
        <v>109</v>
      </c>
      <c r="CB309" s="236" t="s">
        <v>196</v>
      </c>
      <c r="CC309" s="233">
        <v>0</v>
      </c>
      <c r="CD309" s="233">
        <v>0</v>
      </c>
      <c r="CE309" s="233">
        <v>0</v>
      </c>
      <c r="CF309" s="233">
        <v>0</v>
      </c>
      <c r="CG309" s="233">
        <v>6314.3051699999996</v>
      </c>
      <c r="CH309" s="233">
        <v>9909.1141299999999</v>
      </c>
      <c r="CI309" s="233">
        <v>14819.8943444</v>
      </c>
      <c r="CJ309" s="237">
        <v>0</v>
      </c>
      <c r="CK309" s="177" t="s">
        <v>128</v>
      </c>
      <c r="CL309" s="177" t="s">
        <v>128</v>
      </c>
      <c r="CM309" s="155" t="s">
        <v>109</v>
      </c>
      <c r="CN309" s="229">
        <v>1</v>
      </c>
      <c r="CO309" s="229">
        <v>0</v>
      </c>
      <c r="CP309" t="s">
        <v>2182</v>
      </c>
      <c r="CR309" s="248"/>
    </row>
    <row r="310" spans="1:96" ht="14.4" x14ac:dyDescent="0.3">
      <c r="A310">
        <v>307</v>
      </c>
      <c r="B310" s="173" t="s">
        <v>2183</v>
      </c>
      <c r="C310" s="259"/>
      <c r="D310" s="260"/>
      <c r="E310" t="s">
        <v>329</v>
      </c>
      <c r="F310" t="s">
        <v>2184</v>
      </c>
      <c r="G310" s="177" t="s">
        <v>661</v>
      </c>
      <c r="H310" s="177" t="s">
        <v>146</v>
      </c>
      <c r="I310" s="177" t="s">
        <v>109</v>
      </c>
      <c r="J310" s="177" t="s">
        <v>109</v>
      </c>
      <c r="K310" s="177" t="s">
        <v>662</v>
      </c>
      <c r="L310" s="177" t="s">
        <v>2185</v>
      </c>
      <c r="M310" s="177" t="s">
        <v>505</v>
      </c>
      <c r="N310" s="177" t="s">
        <v>109</v>
      </c>
      <c r="O310" s="180">
        <v>45670</v>
      </c>
      <c r="P310" s="177" t="s">
        <v>1748</v>
      </c>
      <c r="Q310" s="177" t="s">
        <v>109</v>
      </c>
      <c r="R310" s="177" t="s">
        <v>109</v>
      </c>
      <c r="S310" s="177" t="s">
        <v>109</v>
      </c>
      <c r="T310" s="177" t="s">
        <v>404</v>
      </c>
      <c r="U310" s="177" t="s">
        <v>117</v>
      </c>
      <c r="V310" s="177" t="b">
        <v>0</v>
      </c>
      <c r="W310" s="177" t="s">
        <v>109</v>
      </c>
      <c r="X310" s="261"/>
      <c r="Y310" s="177">
        <v>1.6</v>
      </c>
      <c r="Z310" s="177" t="s">
        <v>118</v>
      </c>
      <c r="AA310" s="177">
        <v>69</v>
      </c>
      <c r="AB310" s="177" t="s">
        <v>109</v>
      </c>
      <c r="AC310" s="177">
        <v>2.1</v>
      </c>
      <c r="AD310" s="177" t="s">
        <v>2186</v>
      </c>
      <c r="AE310" s="177" t="s">
        <v>2187</v>
      </c>
      <c r="AF310" s="177">
        <v>1</v>
      </c>
      <c r="AG310" s="177">
        <v>21148</v>
      </c>
      <c r="AH310" s="177" t="s">
        <v>121</v>
      </c>
      <c r="AI310" s="177" t="b">
        <v>1</v>
      </c>
      <c r="AJ310" s="180">
        <v>44544</v>
      </c>
      <c r="AK310" s="177" t="s">
        <v>122</v>
      </c>
      <c r="AL310" s="177" t="s">
        <v>109</v>
      </c>
      <c r="AM310" s="177" t="s">
        <v>109</v>
      </c>
      <c r="AN310" s="179" t="b">
        <v>0</v>
      </c>
      <c r="AO310" s="177" t="s">
        <v>109</v>
      </c>
      <c r="AP310" s="177" t="s">
        <v>109</v>
      </c>
      <c r="AQ310" s="177" t="s">
        <v>109</v>
      </c>
      <c r="AR310" s="177" t="b">
        <v>0</v>
      </c>
      <c r="AS310" s="177" t="s">
        <v>123</v>
      </c>
      <c r="AT310" s="180" t="s">
        <v>123</v>
      </c>
      <c r="AU310" s="177" t="s">
        <v>124</v>
      </c>
      <c r="AV310" s="177" t="s">
        <v>109</v>
      </c>
      <c r="AW310" s="177" t="s">
        <v>118</v>
      </c>
      <c r="AX310" s="177" t="s">
        <v>118</v>
      </c>
      <c r="AY310" s="177" t="s">
        <v>123</v>
      </c>
      <c r="AZ310" s="177" t="s">
        <v>2188</v>
      </c>
      <c r="BA310" s="177" t="s">
        <v>125</v>
      </c>
      <c r="BB310" s="177">
        <v>2029</v>
      </c>
      <c r="BC310" s="177" t="s">
        <v>546</v>
      </c>
      <c r="BD310" s="177" t="s">
        <v>109</v>
      </c>
      <c r="BE310" s="180" t="s">
        <v>2189</v>
      </c>
      <c r="BF310" s="180" t="s">
        <v>109</v>
      </c>
      <c r="BG310" s="180" t="s">
        <v>2190</v>
      </c>
      <c r="BH310" s="177" t="s">
        <v>138</v>
      </c>
      <c r="BI310" s="177" t="s">
        <v>109</v>
      </c>
      <c r="BJ310" s="177" t="b">
        <v>1</v>
      </c>
      <c r="BK310" s="233">
        <v>1876.6323600000001</v>
      </c>
      <c r="BL310" s="234" t="s">
        <v>128</v>
      </c>
      <c r="BM310" s="254">
        <v>2442.6480000000001</v>
      </c>
      <c r="BN310" s="254">
        <v>0</v>
      </c>
      <c r="BO310" s="254">
        <v>0</v>
      </c>
      <c r="BP310" s="254">
        <v>0.52012999999999998</v>
      </c>
      <c r="BQ310" s="254">
        <v>30.425519999999999</v>
      </c>
      <c r="BR310" s="254">
        <v>202.42756</v>
      </c>
      <c r="BS310" s="254">
        <v>56.061260000000004</v>
      </c>
      <c r="BT310" s="254">
        <v>216.75822589999996</v>
      </c>
      <c r="BU310" s="254">
        <v>1936.45516</v>
      </c>
      <c r="BV310" s="254">
        <v>0</v>
      </c>
      <c r="BW310" s="254">
        <v>0</v>
      </c>
      <c r="BX310" s="254">
        <v>0</v>
      </c>
      <c r="BY310" s="255">
        <v>0</v>
      </c>
      <c r="BZ310" s="236" t="s">
        <v>109</v>
      </c>
      <c r="CA310" s="236" t="s">
        <v>109</v>
      </c>
      <c r="CB310" s="233" t="s">
        <v>196</v>
      </c>
      <c r="CC310" s="254">
        <v>0</v>
      </c>
      <c r="CD310" s="254">
        <v>0</v>
      </c>
      <c r="CE310" s="254">
        <v>0</v>
      </c>
      <c r="CF310" s="254">
        <v>0</v>
      </c>
      <c r="CG310" s="254">
        <v>233.37321</v>
      </c>
      <c r="CH310" s="254">
        <v>56.061260000000004</v>
      </c>
      <c r="CI310" s="254">
        <v>216.75822589999996</v>
      </c>
      <c r="CJ310" s="237">
        <v>0</v>
      </c>
      <c r="CK310" s="177" t="s">
        <v>128</v>
      </c>
      <c r="CL310" s="177">
        <v>15.4</v>
      </c>
      <c r="CM310" s="155" t="s">
        <v>109</v>
      </c>
      <c r="CN310" s="229">
        <v>0</v>
      </c>
      <c r="CO310" s="229">
        <v>1</v>
      </c>
      <c r="CP310" t="s">
        <v>2191</v>
      </c>
      <c r="CR310" s="248"/>
    </row>
    <row r="311" spans="1:96" ht="14.4" x14ac:dyDescent="0.3">
      <c r="A311">
        <v>308</v>
      </c>
      <c r="B311" s="173" t="s">
        <v>2192</v>
      </c>
      <c r="C311" s="259"/>
      <c r="D311" s="259"/>
      <c r="E311" t="s">
        <v>410</v>
      </c>
      <c r="F311" t="s">
        <v>2193</v>
      </c>
      <c r="G311" s="177" t="s">
        <v>661</v>
      </c>
      <c r="H311" s="177" t="s">
        <v>958</v>
      </c>
      <c r="I311" s="177" t="s">
        <v>109</v>
      </c>
      <c r="J311" s="177" t="s">
        <v>109</v>
      </c>
      <c r="K311" s="177" t="s">
        <v>134</v>
      </c>
      <c r="L311" s="177" t="s">
        <v>1158</v>
      </c>
      <c r="M311" s="177" t="s">
        <v>109</v>
      </c>
      <c r="N311" s="177" t="s">
        <v>109</v>
      </c>
      <c r="O311" s="180">
        <v>45696</v>
      </c>
      <c r="P311" s="177" t="s">
        <v>2194</v>
      </c>
      <c r="Q311" s="177" t="s">
        <v>109</v>
      </c>
      <c r="R311" s="177" t="s">
        <v>109</v>
      </c>
      <c r="S311" s="177" t="s">
        <v>109</v>
      </c>
      <c r="T311" s="177" t="s">
        <v>116</v>
      </c>
      <c r="U311" s="177" t="s">
        <v>117</v>
      </c>
      <c r="V311" s="177" t="b">
        <v>0</v>
      </c>
      <c r="W311" s="177" t="s">
        <v>123</v>
      </c>
      <c r="X311" s="261"/>
      <c r="Y311" s="177">
        <v>0.25</v>
      </c>
      <c r="Z311" s="177" t="s">
        <v>109</v>
      </c>
      <c r="AA311" s="177">
        <v>69</v>
      </c>
      <c r="AB311" s="177" t="s">
        <v>109</v>
      </c>
      <c r="AC311" s="177">
        <v>1.4</v>
      </c>
      <c r="AD311" s="177" t="s">
        <v>2195</v>
      </c>
      <c r="AE311" s="177" t="s">
        <v>2196</v>
      </c>
      <c r="AF311" s="177">
        <v>1</v>
      </c>
      <c r="AG311" s="177">
        <v>21149</v>
      </c>
      <c r="AH311" s="177" t="s">
        <v>121</v>
      </c>
      <c r="AI311" s="177" t="b">
        <v>1</v>
      </c>
      <c r="AJ311" s="180">
        <v>44494</v>
      </c>
      <c r="AK311" s="177" t="s">
        <v>122</v>
      </c>
      <c r="AL311" s="177">
        <v>2022</v>
      </c>
      <c r="AM311" s="177" t="s">
        <v>109</v>
      </c>
      <c r="AN311" s="177" t="b">
        <v>0</v>
      </c>
      <c r="AO311" s="177" t="s">
        <v>109</v>
      </c>
      <c r="AP311" s="177" t="s">
        <v>109</v>
      </c>
      <c r="AQ311" s="177" t="s">
        <v>109</v>
      </c>
      <c r="AR311" s="177" t="b">
        <v>0</v>
      </c>
      <c r="AS311" s="177" t="s">
        <v>123</v>
      </c>
      <c r="AT311" s="180" t="s">
        <v>118</v>
      </c>
      <c r="AU311" s="177" t="s">
        <v>109</v>
      </c>
      <c r="AV311" s="177" t="s">
        <v>109</v>
      </c>
      <c r="AW311" s="177" t="s">
        <v>226</v>
      </c>
      <c r="AX311" s="177" t="s">
        <v>109</v>
      </c>
      <c r="AY311" s="177" t="s">
        <v>666</v>
      </c>
      <c r="AZ311" s="177" t="s">
        <v>2018</v>
      </c>
      <c r="BA311" s="177" t="s">
        <v>494</v>
      </c>
      <c r="BB311" s="177">
        <v>2024</v>
      </c>
      <c r="BC311" s="177" t="s">
        <v>425</v>
      </c>
      <c r="BD311" s="177" t="s">
        <v>109</v>
      </c>
      <c r="BE311" s="180" t="s">
        <v>2197</v>
      </c>
      <c r="BF311" s="180" t="s">
        <v>127</v>
      </c>
      <c r="BG311" s="180" t="s">
        <v>892</v>
      </c>
      <c r="BH311" s="177" t="s">
        <v>109</v>
      </c>
      <c r="BI311" s="177" t="s">
        <v>109</v>
      </c>
      <c r="BJ311" s="177" t="b">
        <v>0</v>
      </c>
      <c r="BK311" s="233">
        <v>7066.8</v>
      </c>
      <c r="BL311" s="234" t="s">
        <v>128</v>
      </c>
      <c r="BM311" s="233">
        <v>0</v>
      </c>
      <c r="BN311" s="233">
        <v>0</v>
      </c>
      <c r="BO311" s="233">
        <v>0</v>
      </c>
      <c r="BP311" s="233">
        <v>0</v>
      </c>
      <c r="BQ311" s="233">
        <v>0</v>
      </c>
      <c r="BR311" s="233">
        <v>0</v>
      </c>
      <c r="BS311" s="233">
        <v>0</v>
      </c>
      <c r="BT311" s="233">
        <v>0</v>
      </c>
      <c r="BU311" s="233">
        <v>0</v>
      </c>
      <c r="BV311" s="233">
        <v>0</v>
      </c>
      <c r="BW311" s="233">
        <v>0</v>
      </c>
      <c r="BX311" s="233">
        <v>0</v>
      </c>
      <c r="BY311" s="234">
        <v>0</v>
      </c>
      <c r="BZ311" s="236" t="s">
        <v>109</v>
      </c>
      <c r="CA311" s="236" t="s">
        <v>109</v>
      </c>
      <c r="CB311" s="236" t="s">
        <v>109</v>
      </c>
      <c r="CC311" s="233">
        <v>0</v>
      </c>
      <c r="CD311" s="233">
        <v>0</v>
      </c>
      <c r="CE311" s="233">
        <v>0</v>
      </c>
      <c r="CF311" s="233">
        <v>0</v>
      </c>
      <c r="CG311" s="233">
        <v>0</v>
      </c>
      <c r="CH311" s="233">
        <v>0</v>
      </c>
      <c r="CI311" s="233">
        <v>0</v>
      </c>
      <c r="CJ311" s="237">
        <v>0</v>
      </c>
      <c r="CK311" s="177" t="s">
        <v>128</v>
      </c>
      <c r="CL311" s="177" t="s">
        <v>128</v>
      </c>
      <c r="CM311" s="155" t="s">
        <v>109</v>
      </c>
      <c r="CN311" s="229">
        <v>0</v>
      </c>
      <c r="CO311" s="229">
        <v>1</v>
      </c>
      <c r="CP311" t="s">
        <v>155</v>
      </c>
      <c r="CR311" s="248"/>
    </row>
    <row r="312" spans="1:96" ht="14.4" x14ac:dyDescent="0.3">
      <c r="A312">
        <v>309</v>
      </c>
      <c r="B312" s="173" t="s">
        <v>2198</v>
      </c>
      <c r="C312" s="259"/>
      <c r="D312" s="260"/>
      <c r="E312" t="s">
        <v>109</v>
      </c>
      <c r="F312" t="s">
        <v>2199</v>
      </c>
      <c r="G312" s="177" t="s">
        <v>661</v>
      </c>
      <c r="H312" s="177" t="s">
        <v>113</v>
      </c>
      <c r="I312" s="177" t="s">
        <v>109</v>
      </c>
      <c r="J312" s="177" t="s">
        <v>109</v>
      </c>
      <c r="K312" s="177" t="s">
        <v>114</v>
      </c>
      <c r="L312" s="177" t="s">
        <v>188</v>
      </c>
      <c r="M312" s="177" t="s">
        <v>109</v>
      </c>
      <c r="N312" s="177" t="s">
        <v>109</v>
      </c>
      <c r="O312" s="180" t="s">
        <v>109</v>
      </c>
      <c r="P312" s="177" t="s">
        <v>109</v>
      </c>
      <c r="Q312" s="177" t="s">
        <v>109</v>
      </c>
      <c r="R312" s="177" t="s">
        <v>109</v>
      </c>
      <c r="S312" s="177" t="s">
        <v>109</v>
      </c>
      <c r="T312" s="177" t="s">
        <v>116</v>
      </c>
      <c r="U312" s="177" t="s">
        <v>117</v>
      </c>
      <c r="V312" s="177" t="b">
        <v>0</v>
      </c>
      <c r="W312" s="177" t="s">
        <v>109</v>
      </c>
      <c r="X312" s="261"/>
      <c r="Y312" s="177" t="s">
        <v>118</v>
      </c>
      <c r="Z312" s="177" t="s">
        <v>118</v>
      </c>
      <c r="AA312" s="177" t="s">
        <v>119</v>
      </c>
      <c r="AB312" s="177" t="s">
        <v>109</v>
      </c>
      <c r="AC312" s="177">
        <v>1.1000000000000001</v>
      </c>
      <c r="AD312" s="177" t="s">
        <v>119</v>
      </c>
      <c r="AE312" s="177" t="s">
        <v>2200</v>
      </c>
      <c r="AF312" s="177">
        <v>477</v>
      </c>
      <c r="AG312" s="177">
        <v>21150</v>
      </c>
      <c r="AH312" s="177" t="s">
        <v>121</v>
      </c>
      <c r="AI312" s="177" t="b">
        <v>1</v>
      </c>
      <c r="AJ312" s="180">
        <v>45642</v>
      </c>
      <c r="AK312" s="177" t="s">
        <v>122</v>
      </c>
      <c r="AL312" s="177" t="s">
        <v>109</v>
      </c>
      <c r="AM312" s="177" t="s">
        <v>109</v>
      </c>
      <c r="AN312" s="177" t="b">
        <v>0</v>
      </c>
      <c r="AO312" s="177" t="s">
        <v>109</v>
      </c>
      <c r="AP312" s="177" t="s">
        <v>109</v>
      </c>
      <c r="AQ312" s="177" t="s">
        <v>118</v>
      </c>
      <c r="AR312" s="177" t="b">
        <v>0</v>
      </c>
      <c r="AS312" s="177" t="s">
        <v>123</v>
      </c>
      <c r="AT312" s="180" t="s">
        <v>123</v>
      </c>
      <c r="AU312" s="177" t="s">
        <v>124</v>
      </c>
      <c r="AV312" s="177" t="s">
        <v>109</v>
      </c>
      <c r="AW312" s="177" t="s">
        <v>118</v>
      </c>
      <c r="AX312" s="177" t="s">
        <v>118</v>
      </c>
      <c r="AY312" s="177" t="s">
        <v>109</v>
      </c>
      <c r="AZ312" s="177" t="s">
        <v>109</v>
      </c>
      <c r="BA312" s="177" t="s">
        <v>125</v>
      </c>
      <c r="BB312" s="177" t="s">
        <v>109</v>
      </c>
      <c r="BC312" s="177" t="s">
        <v>126</v>
      </c>
      <c r="BD312" s="177" t="s">
        <v>109</v>
      </c>
      <c r="BE312" s="180" t="s">
        <v>109</v>
      </c>
      <c r="BF312" s="180" t="s">
        <v>127</v>
      </c>
      <c r="BG312" s="180" t="s">
        <v>119</v>
      </c>
      <c r="BH312" s="177" t="s">
        <v>109</v>
      </c>
      <c r="BI312" s="177" t="s">
        <v>109</v>
      </c>
      <c r="BJ312" s="177" t="b">
        <v>1</v>
      </c>
      <c r="BK312" s="233" t="s">
        <v>118</v>
      </c>
      <c r="BL312" s="234" t="s">
        <v>128</v>
      </c>
      <c r="BM312" s="233">
        <f>87213.0010280763-SUM(BM313:BM314)</f>
        <v>72075.673038076289</v>
      </c>
      <c r="BN312" s="235">
        <f>5706.85138-SUM(BN313:BN314)</f>
        <v>1116.2025599999997</v>
      </c>
      <c r="BO312" s="235">
        <f>7358.42061-SUM(BO313:BO314)</f>
        <v>1089.7303700000002</v>
      </c>
      <c r="BP312" s="235">
        <f>2271.82929-SUM(BP313:BP314)</f>
        <v>807.85694000000012</v>
      </c>
      <c r="BQ312" s="235">
        <f>3868.056-SUM(BQ313:BQ314)</f>
        <v>2496.3253000000004</v>
      </c>
      <c r="BR312" s="235">
        <f>6924.76169-SUM(BR313:BR314)</f>
        <v>6919.8144200000006</v>
      </c>
      <c r="BS312" s="235">
        <f>687.03839-SUM(BS313:BS314)</f>
        <v>685.70818000000008</v>
      </c>
      <c r="BT312" s="235">
        <f>4388.1044741-SUM(BT313:BT314)</f>
        <v>4388.1044740999996</v>
      </c>
      <c r="BU312" s="235">
        <f>5642.1541572-SUM(BU313:BU314)</f>
        <v>5642.1541571999996</v>
      </c>
      <c r="BV312" s="235">
        <f>4094.1869871-SUM(BV313:BV314)</f>
        <v>4094.1869870999999</v>
      </c>
      <c r="BW312" s="235">
        <f>4507.9191697-SUM(BW313:BW314)</f>
        <v>4507.9191696999997</v>
      </c>
      <c r="BX312" s="235">
        <f>5005.4430229-SUM(BX313:BX314)</f>
        <v>5005.4430229</v>
      </c>
      <c r="BY312" s="234">
        <v>3266.8063099999999</v>
      </c>
      <c r="BZ312" s="236" t="s">
        <v>109</v>
      </c>
      <c r="CA312" s="236" t="s">
        <v>109</v>
      </c>
      <c r="CB312" s="236" t="s">
        <v>129</v>
      </c>
      <c r="CC312" s="235">
        <f>5228.22052-SUM(CC313:CC314)</f>
        <v>637.57169999999951</v>
      </c>
      <c r="CD312" s="235">
        <f>7925.82481-SUM(CD313:CD314)</f>
        <v>1657.1345700000002</v>
      </c>
      <c r="CE312" s="235">
        <f>2187.65215-SUM(CE313:CE314)</f>
        <v>723.67979999999989</v>
      </c>
      <c r="CF312" s="235">
        <f>2664.11315-SUM(CF313:CF314)</f>
        <v>1292.3824500000003</v>
      </c>
      <c r="CG312" s="235">
        <f>8282.9895-SUM(CG313:CG314)</f>
        <v>8278.0422299999991</v>
      </c>
      <c r="CH312" s="235">
        <f>679.35082-SUM(CH313:CH314)</f>
        <v>678.02061000000003</v>
      </c>
      <c r="CI312" s="235">
        <f>36.0568-SUM(CI313:CI314)</f>
        <v>36.056800000000003</v>
      </c>
      <c r="CJ312" s="237">
        <v>0</v>
      </c>
      <c r="CK312" s="177" t="s">
        <v>128</v>
      </c>
      <c r="CL312" s="177">
        <v>2.1</v>
      </c>
      <c r="CM312" s="155" t="s">
        <v>109</v>
      </c>
      <c r="CN312" s="229">
        <v>0.13550000000000001</v>
      </c>
      <c r="CO312" s="229">
        <v>0.86450000000000005</v>
      </c>
      <c r="CP312" t="s">
        <v>155</v>
      </c>
      <c r="CR312" s="248"/>
    </row>
    <row r="313" spans="1:96" ht="14.4" x14ac:dyDescent="0.3">
      <c r="A313">
        <v>310</v>
      </c>
      <c r="B313" s="173" t="s">
        <v>2201</v>
      </c>
      <c r="C313" s="259"/>
      <c r="D313" s="260"/>
      <c r="E313" t="s">
        <v>329</v>
      </c>
      <c r="F313" t="s">
        <v>2202</v>
      </c>
      <c r="G313" s="177" t="s">
        <v>186</v>
      </c>
      <c r="H313" s="177" t="s">
        <v>113</v>
      </c>
      <c r="I313" s="177" t="s">
        <v>109</v>
      </c>
      <c r="J313" s="177" t="s">
        <v>109</v>
      </c>
      <c r="K313" s="177" t="s">
        <v>114</v>
      </c>
      <c r="L313" s="177" t="s">
        <v>188</v>
      </c>
      <c r="M313" s="177" t="s">
        <v>109</v>
      </c>
      <c r="N313" s="177" t="s">
        <v>109</v>
      </c>
      <c r="O313" s="180">
        <v>45703</v>
      </c>
      <c r="P313" s="177" t="s">
        <v>775</v>
      </c>
      <c r="Q313" s="177" t="s">
        <v>109</v>
      </c>
      <c r="R313" s="177" t="s">
        <v>109</v>
      </c>
      <c r="S313" s="177" t="s">
        <v>109</v>
      </c>
      <c r="T313" s="177" t="s">
        <v>116</v>
      </c>
      <c r="U313" s="177" t="s">
        <v>117</v>
      </c>
      <c r="V313" s="177" t="b">
        <v>0</v>
      </c>
      <c r="W313" s="177" t="s">
        <v>109</v>
      </c>
      <c r="X313" s="261"/>
      <c r="Y313" s="177" t="s">
        <v>109</v>
      </c>
      <c r="Z313" s="177" t="s">
        <v>109</v>
      </c>
      <c r="AA313" s="177">
        <v>69</v>
      </c>
      <c r="AB313" s="177" t="s">
        <v>109</v>
      </c>
      <c r="AC313" s="177">
        <v>1.1000000000000001</v>
      </c>
      <c r="AD313" s="177" t="s">
        <v>2203</v>
      </c>
      <c r="AE313" s="177" t="s">
        <v>2200</v>
      </c>
      <c r="AF313" s="177">
        <v>1</v>
      </c>
      <c r="AG313" s="177">
        <v>21150</v>
      </c>
      <c r="AH313" s="177" t="s">
        <v>121</v>
      </c>
      <c r="AI313" s="177" t="b">
        <v>1</v>
      </c>
      <c r="AJ313" s="180">
        <v>44939</v>
      </c>
      <c r="AK313" s="177" t="s">
        <v>122</v>
      </c>
      <c r="AL313" s="177" t="s">
        <v>109</v>
      </c>
      <c r="AM313" s="177" t="s">
        <v>109</v>
      </c>
      <c r="AN313" s="177" t="b">
        <v>0</v>
      </c>
      <c r="AO313" s="177" t="s">
        <v>109</v>
      </c>
      <c r="AP313" s="177" t="s">
        <v>109</v>
      </c>
      <c r="AQ313" s="177" t="s">
        <v>109</v>
      </c>
      <c r="AR313" s="177" t="b">
        <v>0</v>
      </c>
      <c r="AS313" s="177" t="s">
        <v>123</v>
      </c>
      <c r="AT313" s="180" t="s">
        <v>123</v>
      </c>
      <c r="AU313" s="177" t="s">
        <v>124</v>
      </c>
      <c r="AV313" s="177" t="s">
        <v>109</v>
      </c>
      <c r="AW313" s="177" t="s">
        <v>109</v>
      </c>
      <c r="AX313" s="177" t="s">
        <v>109</v>
      </c>
      <c r="AY313" s="177" t="s">
        <v>135</v>
      </c>
      <c r="AZ313" s="177" t="s">
        <v>109</v>
      </c>
      <c r="BA313" s="177" t="s">
        <v>125</v>
      </c>
      <c r="BB313" s="177" t="s">
        <v>109</v>
      </c>
      <c r="BC313" s="177" t="s">
        <v>126</v>
      </c>
      <c r="BD313" s="177" t="s">
        <v>109</v>
      </c>
      <c r="BE313" s="180" t="s">
        <v>2204</v>
      </c>
      <c r="BF313" s="180" t="s">
        <v>453</v>
      </c>
      <c r="BG313" s="180" t="s">
        <v>2205</v>
      </c>
      <c r="BH313" s="177" t="s">
        <v>109</v>
      </c>
      <c r="BI313" s="177" t="s">
        <v>109</v>
      </c>
      <c r="BJ313" s="177" t="b">
        <v>0</v>
      </c>
      <c r="BK313" s="233">
        <v>1421.70992</v>
      </c>
      <c r="BL313" s="234" t="s">
        <v>128</v>
      </c>
      <c r="BM313" s="233">
        <v>1308.0284200000001</v>
      </c>
      <c r="BN313" s="233">
        <v>0</v>
      </c>
      <c r="BO313" s="233">
        <v>0</v>
      </c>
      <c r="BP313" s="233">
        <v>0</v>
      </c>
      <c r="BQ313" s="233">
        <v>1303.1509799999999</v>
      </c>
      <c r="BR313" s="233">
        <v>4.87744</v>
      </c>
      <c r="BS313" s="233">
        <v>0</v>
      </c>
      <c r="BT313" s="233">
        <v>0</v>
      </c>
      <c r="BU313" s="233">
        <v>0</v>
      </c>
      <c r="BV313" s="233">
        <v>0</v>
      </c>
      <c r="BW313" s="233">
        <v>0</v>
      </c>
      <c r="BX313" s="233">
        <v>0</v>
      </c>
      <c r="BY313" s="234">
        <v>0</v>
      </c>
      <c r="BZ313" s="236" t="s">
        <v>109</v>
      </c>
      <c r="CA313" s="236" t="s">
        <v>109</v>
      </c>
      <c r="CB313" s="233" t="s">
        <v>174</v>
      </c>
      <c r="CC313" s="233">
        <v>0</v>
      </c>
      <c r="CD313" s="233">
        <v>0</v>
      </c>
      <c r="CE313" s="233">
        <v>0</v>
      </c>
      <c r="CF313" s="233">
        <v>1303.1509799999999</v>
      </c>
      <c r="CG313" s="233">
        <v>4.87744</v>
      </c>
      <c r="CH313" s="233">
        <v>0</v>
      </c>
      <c r="CI313" s="233">
        <v>0</v>
      </c>
      <c r="CJ313" s="237">
        <v>0</v>
      </c>
      <c r="CK313" s="177" t="s">
        <v>128</v>
      </c>
      <c r="CL313" s="177" t="s">
        <v>128</v>
      </c>
      <c r="CM313" s="155" t="s">
        <v>109</v>
      </c>
      <c r="CN313" s="229">
        <v>0</v>
      </c>
      <c r="CO313" s="229">
        <v>1</v>
      </c>
      <c r="CP313" t="s">
        <v>2206</v>
      </c>
      <c r="CR313" s="248"/>
    </row>
    <row r="314" spans="1:96" ht="14.4" x14ac:dyDescent="0.3">
      <c r="A314">
        <v>311</v>
      </c>
      <c r="B314" s="173" t="s">
        <v>2149</v>
      </c>
      <c r="C314" s="259"/>
      <c r="D314" s="260"/>
      <c r="E314" t="s">
        <v>109</v>
      </c>
      <c r="F314" t="s">
        <v>2207</v>
      </c>
      <c r="G314" s="177" t="s">
        <v>661</v>
      </c>
      <c r="H314" s="177" t="s">
        <v>113</v>
      </c>
      <c r="I314" s="177" t="s">
        <v>146</v>
      </c>
      <c r="J314" s="177" t="s">
        <v>109</v>
      </c>
      <c r="K314" s="177" t="s">
        <v>234</v>
      </c>
      <c r="L314" s="177" t="s">
        <v>251</v>
      </c>
      <c r="M314" s="177" t="s">
        <v>109</v>
      </c>
      <c r="N314" s="177" t="s">
        <v>109</v>
      </c>
      <c r="O314" s="180">
        <v>45662</v>
      </c>
      <c r="P314" s="177" t="s">
        <v>109</v>
      </c>
      <c r="Q314" s="177" t="s">
        <v>109</v>
      </c>
      <c r="R314" s="177" t="s">
        <v>109</v>
      </c>
      <c r="S314" s="177" t="s">
        <v>109</v>
      </c>
      <c r="T314" s="177" t="s">
        <v>2208</v>
      </c>
      <c r="U314" s="177" t="s">
        <v>117</v>
      </c>
      <c r="V314" s="177" t="b">
        <v>0</v>
      </c>
      <c r="W314" s="177" t="s">
        <v>109</v>
      </c>
      <c r="X314" s="261"/>
      <c r="Y314" s="177" t="s">
        <v>109</v>
      </c>
      <c r="Z314" s="177" t="s">
        <v>109</v>
      </c>
      <c r="AA314" s="177" t="s">
        <v>119</v>
      </c>
      <c r="AB314" s="177" t="s">
        <v>109</v>
      </c>
      <c r="AC314" s="177">
        <v>1.1000000000000001</v>
      </c>
      <c r="AD314" s="177" t="s">
        <v>119</v>
      </c>
      <c r="AE314" s="177" t="s">
        <v>2200</v>
      </c>
      <c r="AF314" s="177">
        <v>1</v>
      </c>
      <c r="AG314" s="177">
        <v>21150</v>
      </c>
      <c r="AH314" s="177" t="s">
        <v>121</v>
      </c>
      <c r="AI314" s="177" t="b">
        <v>1</v>
      </c>
      <c r="AJ314" s="180">
        <v>45658</v>
      </c>
      <c r="AK314" s="177" t="s">
        <v>122</v>
      </c>
      <c r="AL314" s="177" t="s">
        <v>109</v>
      </c>
      <c r="AM314" s="177" t="s">
        <v>109</v>
      </c>
      <c r="AN314" s="177" t="b">
        <v>0</v>
      </c>
      <c r="AO314" s="177" t="s">
        <v>109</v>
      </c>
      <c r="AP314" s="177" t="s">
        <v>109</v>
      </c>
      <c r="AQ314" s="177" t="s">
        <v>109</v>
      </c>
      <c r="AR314" s="177" t="b">
        <v>0</v>
      </c>
      <c r="AS314" s="177" t="s">
        <v>123</v>
      </c>
      <c r="AT314" s="180" t="s">
        <v>123</v>
      </c>
      <c r="AU314" s="177" t="s">
        <v>124</v>
      </c>
      <c r="AV314" s="177" t="s">
        <v>109</v>
      </c>
      <c r="AW314" s="177" t="s">
        <v>109</v>
      </c>
      <c r="AX314" s="177" t="s">
        <v>109</v>
      </c>
      <c r="AY314" s="177" t="s">
        <v>109</v>
      </c>
      <c r="AZ314" s="177" t="s">
        <v>109</v>
      </c>
      <c r="BA314" s="177" t="s">
        <v>125</v>
      </c>
      <c r="BB314" s="177" t="s">
        <v>109</v>
      </c>
      <c r="BC314" s="177" t="s">
        <v>126</v>
      </c>
      <c r="BD314" s="177" t="s">
        <v>109</v>
      </c>
      <c r="BE314" s="180" t="s">
        <v>109</v>
      </c>
      <c r="BF314" s="180" t="s">
        <v>127</v>
      </c>
      <c r="BG314" s="180" t="s">
        <v>228</v>
      </c>
      <c r="BH314" s="177" t="s">
        <v>109</v>
      </c>
      <c r="BI314" s="177" t="s">
        <v>109</v>
      </c>
      <c r="BJ314" s="177" t="b">
        <v>1</v>
      </c>
      <c r="BK314" s="233" t="s">
        <v>118</v>
      </c>
      <c r="BL314" s="234" t="s">
        <v>128</v>
      </c>
      <c r="BM314" s="233">
        <v>13829.299569999999</v>
      </c>
      <c r="BN314" s="233">
        <v>4590.6488200000003</v>
      </c>
      <c r="BO314" s="233">
        <v>6268.6902399999999</v>
      </c>
      <c r="BP314" s="233">
        <v>1463.97235</v>
      </c>
      <c r="BQ314" s="233">
        <v>68.579719999999995</v>
      </c>
      <c r="BR314" s="233">
        <v>6.9830000000000003E-2</v>
      </c>
      <c r="BS314" s="233">
        <v>1.3302099999999999</v>
      </c>
      <c r="BT314" s="233">
        <v>0</v>
      </c>
      <c r="BU314" s="233">
        <v>0</v>
      </c>
      <c r="BV314" s="233">
        <v>0</v>
      </c>
      <c r="BW314" s="233">
        <v>0</v>
      </c>
      <c r="BX314" s="233">
        <v>0</v>
      </c>
      <c r="BY314" s="234">
        <v>0</v>
      </c>
      <c r="BZ314" s="236" t="s">
        <v>109</v>
      </c>
      <c r="CA314" s="236" t="s">
        <v>109</v>
      </c>
      <c r="CB314" s="233" t="s">
        <v>129</v>
      </c>
      <c r="CC314" s="233">
        <v>4590.6488200000003</v>
      </c>
      <c r="CD314" s="233">
        <v>6268.6902399999999</v>
      </c>
      <c r="CE314" s="233">
        <v>1463.97235</v>
      </c>
      <c r="CF314" s="233">
        <v>68.579719999999995</v>
      </c>
      <c r="CG314" s="233">
        <v>6.9830000000000003E-2</v>
      </c>
      <c r="CH314" s="233">
        <v>1.3302099999999999</v>
      </c>
      <c r="CI314" s="233">
        <v>0</v>
      </c>
      <c r="CJ314" s="237">
        <v>0</v>
      </c>
      <c r="CK314" s="177" t="s">
        <v>128</v>
      </c>
      <c r="CL314" s="177" t="s">
        <v>128</v>
      </c>
      <c r="CM314" s="155" t="s">
        <v>109</v>
      </c>
      <c r="CN314" s="229">
        <v>0.13550000000000001</v>
      </c>
      <c r="CO314" s="229">
        <v>0.86450000000000005</v>
      </c>
      <c r="CP314" t="s">
        <v>2209</v>
      </c>
      <c r="CR314" s="248"/>
    </row>
    <row r="315" spans="1:96" ht="230.4" x14ac:dyDescent="0.3">
      <c r="A315">
        <v>312</v>
      </c>
      <c r="B315" s="173" t="s">
        <v>2211</v>
      </c>
      <c r="C315" s="259"/>
      <c r="D315" s="260"/>
      <c r="E315" t="s">
        <v>109</v>
      </c>
      <c r="F315" t="s">
        <v>2212</v>
      </c>
      <c r="G315" s="177" t="s">
        <v>240</v>
      </c>
      <c r="H315" s="177" t="s">
        <v>109</v>
      </c>
      <c r="I315" s="177" t="s">
        <v>109</v>
      </c>
      <c r="J315" s="177" t="s">
        <v>109</v>
      </c>
      <c r="K315" s="177" t="s">
        <v>356</v>
      </c>
      <c r="L315" s="177" t="s">
        <v>357</v>
      </c>
      <c r="M315" s="177" t="s">
        <v>706</v>
      </c>
      <c r="N315" s="177" t="s">
        <v>109</v>
      </c>
      <c r="O315" s="180" t="s">
        <v>109</v>
      </c>
      <c r="P315" s="177" t="s">
        <v>109</v>
      </c>
      <c r="Q315" s="177" t="s">
        <v>109</v>
      </c>
      <c r="R315" s="177" t="s">
        <v>2213</v>
      </c>
      <c r="S315" s="177" t="s">
        <v>109</v>
      </c>
      <c r="T315" s="177" t="s">
        <v>223</v>
      </c>
      <c r="U315" s="177" t="s">
        <v>117</v>
      </c>
      <c r="V315" s="177" t="b">
        <v>0</v>
      </c>
      <c r="W315" s="177" t="s">
        <v>109</v>
      </c>
      <c r="X315" s="261"/>
      <c r="Y315" s="177" t="s">
        <v>2214</v>
      </c>
      <c r="Z315" s="177" t="s">
        <v>2214</v>
      </c>
      <c r="AA315" s="177" t="s">
        <v>2215</v>
      </c>
      <c r="AB315" s="177" t="s">
        <v>2216</v>
      </c>
      <c r="AC315" s="177">
        <v>2.1</v>
      </c>
      <c r="AD315" s="177" t="s">
        <v>119</v>
      </c>
      <c r="AE315" s="177" t="s">
        <v>2217</v>
      </c>
      <c r="AF315" s="177">
        <v>116</v>
      </c>
      <c r="AG315" s="177">
        <v>21156</v>
      </c>
      <c r="AH315" s="177" t="s">
        <v>121</v>
      </c>
      <c r="AI315" s="177" t="b">
        <v>1</v>
      </c>
      <c r="AJ315" s="180">
        <v>45635</v>
      </c>
      <c r="AK315" s="177" t="s">
        <v>122</v>
      </c>
      <c r="AL315" s="177" t="s">
        <v>109</v>
      </c>
      <c r="AM315" s="177" t="s">
        <v>109</v>
      </c>
      <c r="AN315" s="177" t="b">
        <v>0</v>
      </c>
      <c r="AO315" s="177" t="s">
        <v>109</v>
      </c>
      <c r="AP315" s="177" t="s">
        <v>109</v>
      </c>
      <c r="AQ315" s="177" t="s">
        <v>118</v>
      </c>
      <c r="AR315" s="177" t="b">
        <v>1</v>
      </c>
      <c r="AS315" s="177" t="s">
        <v>109</v>
      </c>
      <c r="AT315" s="180" t="s">
        <v>118</v>
      </c>
      <c r="AU315" s="177" t="s">
        <v>109</v>
      </c>
      <c r="AV315" s="177" t="s">
        <v>109</v>
      </c>
      <c r="AW315" s="177" t="s">
        <v>118</v>
      </c>
      <c r="AX315" s="177" t="s">
        <v>118</v>
      </c>
      <c r="AY315" s="177" t="s">
        <v>109</v>
      </c>
      <c r="AZ315" s="177" t="s">
        <v>109</v>
      </c>
      <c r="BA315" s="177" t="s">
        <v>698</v>
      </c>
      <c r="BB315" s="177" t="s">
        <v>109</v>
      </c>
      <c r="BC315" s="177" t="s">
        <v>296</v>
      </c>
      <c r="BD315" s="177" t="s">
        <v>109</v>
      </c>
      <c r="BE315" s="180" t="s">
        <v>109</v>
      </c>
      <c r="BF315" s="180" t="s">
        <v>109</v>
      </c>
      <c r="BG315" s="180" t="s">
        <v>119</v>
      </c>
      <c r="BH315" s="177" t="s">
        <v>109</v>
      </c>
      <c r="BI315" s="177" t="s">
        <v>109</v>
      </c>
      <c r="BJ315" s="177" t="b">
        <v>1</v>
      </c>
      <c r="BK315" s="233" t="s">
        <v>118</v>
      </c>
      <c r="BL315" s="234" t="s">
        <v>2218</v>
      </c>
      <c r="BM315" s="233">
        <f>317947.997540473-SUM(BM316:BM325)</f>
        <v>21677.724264002347</v>
      </c>
      <c r="BN315" s="235">
        <f>2959.0541867-SUM(BN316:BN325)</f>
        <v>2049.9682038000001</v>
      </c>
      <c r="BO315" s="235">
        <f>5406.7189873-SUM(BO316:BO325)</f>
        <v>5300.0410232999993</v>
      </c>
      <c r="BP315" s="235">
        <f>1907.6827617-SUM(BP316:BP325)</f>
        <v>1072.7568151999999</v>
      </c>
      <c r="BQ315" s="235">
        <f>-169.502722599998-SUM(BQ316:BQ325)</f>
        <v>-1465.3318807999979</v>
      </c>
      <c r="BR315" s="235">
        <f>7527.79411-SUM(BR316:BR325)</f>
        <v>5901.8946799999994</v>
      </c>
      <c r="BS315" s="235">
        <f>-1670.0203-SUM(BS316:BS325)</f>
        <v>-2312.8673239999998</v>
      </c>
      <c r="BT315" s="235">
        <f>-6127.8756165-SUM(BT316:BT325)</f>
        <v>-7291.4550521000001</v>
      </c>
      <c r="BU315" s="235">
        <f>864.035177300001-SUM(BU316:BU325)</f>
        <v>-4150.8090630999986</v>
      </c>
      <c r="BV315" s="235">
        <f>8773.1024967-SUM(BV316:BV325)</f>
        <v>310.89517829999932</v>
      </c>
      <c r="BW315" s="235">
        <f>25906.9920533-SUM(BW316:BW325)</f>
        <v>90.049355200098944</v>
      </c>
      <c r="BX315" s="235">
        <f>248645.8509643-SUM(BX316:BX325)</f>
        <v>76.270232200011378</v>
      </c>
      <c r="BY315" s="234">
        <v>9297.1311100000003</v>
      </c>
      <c r="BZ315" s="236" t="s">
        <v>109</v>
      </c>
      <c r="CA315" s="236" t="s">
        <v>109</v>
      </c>
      <c r="CB315" s="236" t="s">
        <v>129</v>
      </c>
      <c r="CC315" s="235">
        <f>4959.5747132-SUM(CC316:CC325)</f>
        <v>2225.6291782999997</v>
      </c>
      <c r="CD315" s="235">
        <f>4861.7289138-SUM(CD316:CD325)</f>
        <v>4835.0519863999998</v>
      </c>
      <c r="CE315" s="235">
        <f>1236.0260641-SUM(CE316:CE325)</f>
        <v>1194.3648641</v>
      </c>
      <c r="CF315" s="235">
        <f>-4348.0553994-SUM(CF316:CF325)</f>
        <v>-4348.0553994000002</v>
      </c>
      <c r="CG315" s="235">
        <f>-1506.5488073-SUM(CG316:CG325)</f>
        <v>-1506.4313572999999</v>
      </c>
      <c r="CH315" s="235">
        <f>3894.1812602-SUM(CH316:CH325)</f>
        <v>2419.7390829999999</v>
      </c>
      <c r="CI315" s="235">
        <f>375.3293291-SUM(CI316:CI325)</f>
        <v>-386.79291039999998</v>
      </c>
      <c r="CJ315" s="177" t="s">
        <v>128</v>
      </c>
      <c r="CK315" s="177" t="s">
        <v>128</v>
      </c>
      <c r="CL315" s="177">
        <v>3.63</v>
      </c>
      <c r="CM315" s="155" t="s">
        <v>109</v>
      </c>
      <c r="CN315" s="229">
        <v>0.13550000000000001</v>
      </c>
      <c r="CO315" s="229">
        <v>0.86450000000000005</v>
      </c>
      <c r="CP315" s="138" t="s">
        <v>2219</v>
      </c>
      <c r="CR315" s="248"/>
    </row>
    <row r="316" spans="1:96" ht="230.4" x14ac:dyDescent="0.3">
      <c r="A316">
        <v>313</v>
      </c>
      <c r="B316" s="173" t="s">
        <v>2220</v>
      </c>
      <c r="C316" s="259"/>
      <c r="D316" s="260"/>
      <c r="E316" t="s">
        <v>1888</v>
      </c>
      <c r="F316" t="s">
        <v>2221</v>
      </c>
      <c r="G316" s="177" t="s">
        <v>111</v>
      </c>
      <c r="H316" s="177" t="s">
        <v>112</v>
      </c>
      <c r="I316" s="177" t="s">
        <v>109</v>
      </c>
      <c r="J316" s="177" t="s">
        <v>109</v>
      </c>
      <c r="K316" s="177" t="s">
        <v>356</v>
      </c>
      <c r="L316" s="177" t="s">
        <v>486</v>
      </c>
      <c r="M316" s="177" t="s">
        <v>706</v>
      </c>
      <c r="N316" s="177" t="s">
        <v>706</v>
      </c>
      <c r="O316" s="180">
        <v>45690</v>
      </c>
      <c r="P316" s="177" t="s">
        <v>729</v>
      </c>
      <c r="Q316" s="177" t="s">
        <v>109</v>
      </c>
      <c r="R316" s="177" t="s">
        <v>109</v>
      </c>
      <c r="S316" s="177" t="s">
        <v>109</v>
      </c>
      <c r="T316" s="177" t="s">
        <v>116</v>
      </c>
      <c r="U316" s="177" t="s">
        <v>117</v>
      </c>
      <c r="V316" s="177" t="b">
        <v>0</v>
      </c>
      <c r="W316" s="177" t="s">
        <v>109</v>
      </c>
      <c r="X316" s="261"/>
      <c r="Y316" s="177" t="s">
        <v>109</v>
      </c>
      <c r="Z316" s="177">
        <v>4.78</v>
      </c>
      <c r="AA316" s="177">
        <v>138</v>
      </c>
      <c r="AB316" s="177" t="s">
        <v>1313</v>
      </c>
      <c r="AC316" s="177">
        <v>2.1</v>
      </c>
      <c r="AD316" s="177" t="s">
        <v>2222</v>
      </c>
      <c r="AE316" s="177" t="s">
        <v>2217</v>
      </c>
      <c r="AF316" s="177">
        <v>1</v>
      </c>
      <c r="AG316" s="177">
        <v>21156</v>
      </c>
      <c r="AH316" s="177" t="s">
        <v>121</v>
      </c>
      <c r="AI316" s="177" t="b">
        <v>1</v>
      </c>
      <c r="AJ316" s="180">
        <v>44442</v>
      </c>
      <c r="AK316" s="177" t="s">
        <v>122</v>
      </c>
      <c r="AL316" s="177" t="s">
        <v>109</v>
      </c>
      <c r="AM316" s="177" t="s">
        <v>109</v>
      </c>
      <c r="AN316" s="177" t="b">
        <v>0</v>
      </c>
      <c r="AO316" s="177" t="s">
        <v>109</v>
      </c>
      <c r="AP316" s="177" t="s">
        <v>109</v>
      </c>
      <c r="AQ316" s="177" t="s">
        <v>109</v>
      </c>
      <c r="AR316" s="177" t="b">
        <v>1</v>
      </c>
      <c r="AS316" s="177" t="s">
        <v>109</v>
      </c>
      <c r="AT316" s="180" t="s">
        <v>118</v>
      </c>
      <c r="AU316" s="177" t="s">
        <v>109</v>
      </c>
      <c r="AV316" s="177" t="s">
        <v>109</v>
      </c>
      <c r="AW316" s="177" t="s">
        <v>109</v>
      </c>
      <c r="AX316" s="177" t="s">
        <v>109</v>
      </c>
      <c r="AY316" s="177" t="s">
        <v>135</v>
      </c>
      <c r="AZ316" s="177" t="s">
        <v>109</v>
      </c>
      <c r="BA316" s="177" t="s">
        <v>125</v>
      </c>
      <c r="BB316" s="177" t="s">
        <v>109</v>
      </c>
      <c r="BC316" s="177" t="s">
        <v>425</v>
      </c>
      <c r="BD316" s="177" t="s">
        <v>109</v>
      </c>
      <c r="BE316" s="180" t="s">
        <v>2223</v>
      </c>
      <c r="BF316" s="180" t="s">
        <v>2224</v>
      </c>
      <c r="BG316" s="180" t="s">
        <v>2225</v>
      </c>
      <c r="BH316" s="177" t="s">
        <v>2226</v>
      </c>
      <c r="BI316" s="177" t="s">
        <v>2226</v>
      </c>
      <c r="BJ316" s="177" t="b">
        <v>1</v>
      </c>
      <c r="BK316" s="233" t="s">
        <v>118</v>
      </c>
      <c r="BL316" s="234" t="s">
        <v>128</v>
      </c>
      <c r="BM316" s="233">
        <v>-83.877332144445901</v>
      </c>
      <c r="BN316" s="233">
        <v>0</v>
      </c>
      <c r="BO316" s="233">
        <v>19.709869999999999</v>
      </c>
      <c r="BP316" s="233">
        <v>141.98528999999999</v>
      </c>
      <c r="BQ316" s="233">
        <v>283.84161</v>
      </c>
      <c r="BR316" s="233">
        <v>273.72988600000002</v>
      </c>
      <c r="BS316" s="233">
        <v>-873.74237000000005</v>
      </c>
      <c r="BT316" s="233">
        <v>8.3026541000001597</v>
      </c>
      <c r="BU316" s="233">
        <v>62.295727800000002</v>
      </c>
      <c r="BV316" s="233">
        <v>0</v>
      </c>
      <c r="BW316" s="233">
        <v>0</v>
      </c>
      <c r="BX316" s="233">
        <v>0</v>
      </c>
      <c r="BY316" s="234">
        <v>-154</v>
      </c>
      <c r="BZ316" s="236" t="s">
        <v>109</v>
      </c>
      <c r="CA316" s="236" t="s">
        <v>109</v>
      </c>
      <c r="CB316" s="233">
        <v>2025</v>
      </c>
      <c r="CC316" s="233">
        <v>0</v>
      </c>
      <c r="CD316" s="233">
        <v>0</v>
      </c>
      <c r="CE316" s="233">
        <v>0</v>
      </c>
      <c r="CF316" s="233">
        <v>0</v>
      </c>
      <c r="CG316" s="233">
        <v>0</v>
      </c>
      <c r="CH316" s="233">
        <v>0</v>
      </c>
      <c r="CI316" s="233">
        <v>-146.1730599</v>
      </c>
      <c r="CJ316" s="237">
        <v>0</v>
      </c>
      <c r="CK316" s="177" t="s">
        <v>128</v>
      </c>
      <c r="CL316" s="177" t="s">
        <v>128</v>
      </c>
      <c r="CM316" s="155" t="s">
        <v>109</v>
      </c>
      <c r="CN316" s="229">
        <v>0</v>
      </c>
      <c r="CO316" s="229">
        <v>1</v>
      </c>
      <c r="CP316" s="138" t="s">
        <v>2227</v>
      </c>
      <c r="CR316" s="248"/>
    </row>
    <row r="317" spans="1:96" ht="14.4" x14ac:dyDescent="0.3">
      <c r="A317">
        <v>314</v>
      </c>
      <c r="B317" s="173" t="s">
        <v>2228</v>
      </c>
      <c r="C317" s="259"/>
      <c r="D317" s="260"/>
      <c r="E317" t="s">
        <v>923</v>
      </c>
      <c r="F317" t="s">
        <v>2229</v>
      </c>
      <c r="G317" s="177" t="s">
        <v>111</v>
      </c>
      <c r="H317" s="177" t="s">
        <v>113</v>
      </c>
      <c r="I317" s="177" t="s">
        <v>109</v>
      </c>
      <c r="J317" s="177" t="s">
        <v>109</v>
      </c>
      <c r="K317" s="177" t="s">
        <v>356</v>
      </c>
      <c r="L317" s="177" t="s">
        <v>357</v>
      </c>
      <c r="M317" s="177" t="s">
        <v>706</v>
      </c>
      <c r="N317" s="177" t="s">
        <v>109</v>
      </c>
      <c r="O317" s="180">
        <v>45776</v>
      </c>
      <c r="P317" s="177" t="s">
        <v>109</v>
      </c>
      <c r="Q317" s="177" t="s">
        <v>109</v>
      </c>
      <c r="R317" s="177" t="s">
        <v>109</v>
      </c>
      <c r="S317" s="177" t="s">
        <v>109</v>
      </c>
      <c r="T317" s="177" t="s">
        <v>404</v>
      </c>
      <c r="U317" s="177" t="s">
        <v>117</v>
      </c>
      <c r="V317" s="177" t="b">
        <v>0</v>
      </c>
      <c r="W317" s="177" t="s">
        <v>109</v>
      </c>
      <c r="X317" s="261"/>
      <c r="Y317" s="177" t="s">
        <v>109</v>
      </c>
      <c r="Z317" s="177">
        <v>6.92</v>
      </c>
      <c r="AA317" s="177">
        <v>138</v>
      </c>
      <c r="AB317" s="177" t="s">
        <v>1313</v>
      </c>
      <c r="AC317" s="177">
        <v>2.1</v>
      </c>
      <c r="AD317" s="177" t="s">
        <v>2230</v>
      </c>
      <c r="AE317" s="177" t="s">
        <v>2217</v>
      </c>
      <c r="AF317" s="177">
        <v>1</v>
      </c>
      <c r="AG317" s="177">
        <v>21156</v>
      </c>
      <c r="AH317" s="177" t="s">
        <v>121</v>
      </c>
      <c r="AI317" s="177" t="b">
        <v>1</v>
      </c>
      <c r="AJ317" s="180">
        <v>44496</v>
      </c>
      <c r="AK317" s="177" t="s">
        <v>122</v>
      </c>
      <c r="AL317" s="177" t="s">
        <v>109</v>
      </c>
      <c r="AM317" s="177" t="s">
        <v>109</v>
      </c>
      <c r="AN317" s="177" t="b">
        <v>0</v>
      </c>
      <c r="AO317" s="177" t="s">
        <v>109</v>
      </c>
      <c r="AP317" s="177" t="s">
        <v>109</v>
      </c>
      <c r="AQ317" s="177" t="s">
        <v>109</v>
      </c>
      <c r="AR317" s="177" t="b">
        <v>1</v>
      </c>
      <c r="AS317" s="177" t="s">
        <v>109</v>
      </c>
      <c r="AT317" s="180" t="s">
        <v>118</v>
      </c>
      <c r="AU317" s="177" t="s">
        <v>109</v>
      </c>
      <c r="AV317" s="177" t="s">
        <v>109</v>
      </c>
      <c r="AW317" s="177" t="s">
        <v>109</v>
      </c>
      <c r="AX317" s="177" t="s">
        <v>109</v>
      </c>
      <c r="AY317" s="177" t="s">
        <v>135</v>
      </c>
      <c r="AZ317" s="177" t="s">
        <v>109</v>
      </c>
      <c r="BA317" s="177" t="s">
        <v>218</v>
      </c>
      <c r="BB317" s="177" t="s">
        <v>109</v>
      </c>
      <c r="BC317" s="177" t="s">
        <v>150</v>
      </c>
      <c r="BD317" s="177" t="s">
        <v>109</v>
      </c>
      <c r="BE317" s="180" t="s">
        <v>2231</v>
      </c>
      <c r="BF317" s="180" t="s">
        <v>1056</v>
      </c>
      <c r="BG317" s="180" t="s">
        <v>1513</v>
      </c>
      <c r="BH317" s="177" t="s">
        <v>2226</v>
      </c>
      <c r="BI317" s="177" t="s">
        <v>109</v>
      </c>
      <c r="BJ317" s="177" t="b">
        <v>0</v>
      </c>
      <c r="BK317" s="233">
        <v>269.84947</v>
      </c>
      <c r="BL317" s="234" t="s">
        <v>2232</v>
      </c>
      <c r="BM317" s="233">
        <v>1471.0881532460301</v>
      </c>
      <c r="BN317" s="233">
        <v>0</v>
      </c>
      <c r="BO317" s="233">
        <v>4.3252886999999998</v>
      </c>
      <c r="BP317" s="233">
        <v>261.47025489999999</v>
      </c>
      <c r="BQ317" s="233">
        <v>437.80690980000003</v>
      </c>
      <c r="BR317" s="233">
        <v>150.000924</v>
      </c>
      <c r="BS317" s="233">
        <v>463.023212</v>
      </c>
      <c r="BT317" s="233">
        <v>113.9088028</v>
      </c>
      <c r="BU317" s="233">
        <v>40.552760999999997</v>
      </c>
      <c r="BV317" s="233">
        <v>0</v>
      </c>
      <c r="BW317" s="233">
        <v>0</v>
      </c>
      <c r="BX317" s="233">
        <v>0</v>
      </c>
      <c r="BY317" s="234">
        <v>1317</v>
      </c>
      <c r="BZ317" s="236" t="s">
        <v>109</v>
      </c>
      <c r="CA317" s="236" t="s">
        <v>109</v>
      </c>
      <c r="CB317" s="236" t="s">
        <v>109</v>
      </c>
      <c r="CC317" s="233">
        <v>0</v>
      </c>
      <c r="CD317" s="233">
        <v>0</v>
      </c>
      <c r="CE317" s="233">
        <v>0</v>
      </c>
      <c r="CF317" s="233">
        <v>0</v>
      </c>
      <c r="CG317" s="233">
        <v>0</v>
      </c>
      <c r="CH317" s="233">
        <v>0</v>
      </c>
      <c r="CI317" s="233">
        <v>0</v>
      </c>
      <c r="CJ317" s="177" t="s">
        <v>2233</v>
      </c>
      <c r="CK317" s="177" t="s">
        <v>2234</v>
      </c>
      <c r="CL317" s="177" t="s">
        <v>128</v>
      </c>
      <c r="CM317" s="155" t="s">
        <v>109</v>
      </c>
      <c r="CN317" s="229">
        <v>0</v>
      </c>
      <c r="CO317" s="229">
        <v>1</v>
      </c>
      <c r="CP317" t="s">
        <v>449</v>
      </c>
      <c r="CR317" s="248"/>
    </row>
    <row r="318" spans="1:96" ht="14.4" x14ac:dyDescent="0.3">
      <c r="A318">
        <v>315</v>
      </c>
      <c r="B318" s="173" t="s">
        <v>2235</v>
      </c>
      <c r="C318" s="259"/>
      <c r="D318" s="260"/>
      <c r="E318" t="s">
        <v>191</v>
      </c>
      <c r="F318" t="s">
        <v>2236</v>
      </c>
      <c r="G318" s="177" t="s">
        <v>233</v>
      </c>
      <c r="H318" s="177" t="s">
        <v>112</v>
      </c>
      <c r="I318" s="177" t="s">
        <v>112</v>
      </c>
      <c r="J318" s="177" t="s">
        <v>109</v>
      </c>
      <c r="K318" s="177" t="s">
        <v>356</v>
      </c>
      <c r="L318" s="177" t="s">
        <v>207</v>
      </c>
      <c r="M318" s="177" t="s">
        <v>706</v>
      </c>
      <c r="N318" s="177" t="s">
        <v>706</v>
      </c>
      <c r="O318" s="180">
        <v>45783</v>
      </c>
      <c r="P318" s="177" t="s">
        <v>109</v>
      </c>
      <c r="Q318" s="177" t="s">
        <v>109</v>
      </c>
      <c r="R318" s="177" t="s">
        <v>109</v>
      </c>
      <c r="S318" s="177" t="s">
        <v>109</v>
      </c>
      <c r="T318" s="177" t="s">
        <v>404</v>
      </c>
      <c r="U318" s="177" t="s">
        <v>117</v>
      </c>
      <c r="V318" s="177" t="b">
        <v>0</v>
      </c>
      <c r="W318" s="177" t="s">
        <v>109</v>
      </c>
      <c r="X318" s="261"/>
      <c r="Y318" s="177" t="s">
        <v>109</v>
      </c>
      <c r="Z318" s="177">
        <v>32.81</v>
      </c>
      <c r="AA318" s="177">
        <v>230</v>
      </c>
      <c r="AB318" s="177" t="s">
        <v>109</v>
      </c>
      <c r="AC318" s="177">
        <v>2.1</v>
      </c>
      <c r="AD318" s="177" t="s">
        <v>2237</v>
      </c>
      <c r="AE318" s="177" t="s">
        <v>2217</v>
      </c>
      <c r="AF318" s="177">
        <v>1</v>
      </c>
      <c r="AG318" s="177">
        <v>21156</v>
      </c>
      <c r="AH318" s="177" t="s">
        <v>121</v>
      </c>
      <c r="AI318" s="177" t="b">
        <v>1</v>
      </c>
      <c r="AJ318" s="180">
        <v>44036</v>
      </c>
      <c r="AK318" s="177" t="s">
        <v>122</v>
      </c>
      <c r="AL318" s="177" t="s">
        <v>109</v>
      </c>
      <c r="AM318" s="177" t="s">
        <v>109</v>
      </c>
      <c r="AN318" s="177" t="b">
        <v>0</v>
      </c>
      <c r="AO318" s="177" t="s">
        <v>109</v>
      </c>
      <c r="AP318" s="177" t="s">
        <v>109</v>
      </c>
      <c r="AQ318" s="177" t="s">
        <v>109</v>
      </c>
      <c r="AR318" s="177" t="b">
        <v>1</v>
      </c>
      <c r="AS318" s="177" t="s">
        <v>1039</v>
      </c>
      <c r="AT318" s="180" t="s">
        <v>118</v>
      </c>
      <c r="AU318" s="177" t="s">
        <v>109</v>
      </c>
      <c r="AV318" s="177" t="s">
        <v>109</v>
      </c>
      <c r="AW318" s="177" t="s">
        <v>109</v>
      </c>
      <c r="AX318" s="177" t="s">
        <v>109</v>
      </c>
      <c r="AY318" s="177" t="s">
        <v>135</v>
      </c>
      <c r="AZ318" s="177" t="s">
        <v>109</v>
      </c>
      <c r="BA318" s="177" t="s">
        <v>218</v>
      </c>
      <c r="BB318" s="177" t="s">
        <v>109</v>
      </c>
      <c r="BC318" s="177" t="s">
        <v>126</v>
      </c>
      <c r="BD318" s="177" t="s">
        <v>109</v>
      </c>
      <c r="BE318" s="180" t="s">
        <v>2238</v>
      </c>
      <c r="BF318" s="180" t="s">
        <v>171</v>
      </c>
      <c r="BG318" s="180" t="s">
        <v>1570</v>
      </c>
      <c r="BH318" s="177" t="s">
        <v>138</v>
      </c>
      <c r="BI318" s="177" t="s">
        <v>109</v>
      </c>
      <c r="BJ318" s="177" t="b">
        <v>0</v>
      </c>
      <c r="BK318" s="233">
        <v>3863.6759999999999</v>
      </c>
      <c r="BL318" s="234" t="s">
        <v>128</v>
      </c>
      <c r="BM318" s="233">
        <v>1501.4178059870001</v>
      </c>
      <c r="BN318" s="233">
        <v>86.067154299999999</v>
      </c>
      <c r="BO318" s="233">
        <v>0.31989830000000002</v>
      </c>
      <c r="BP318" s="233">
        <v>41.661200000000001</v>
      </c>
      <c r="BQ318" s="233">
        <v>0</v>
      </c>
      <c r="BR318" s="233">
        <v>0</v>
      </c>
      <c r="BS318" s="233">
        <v>0</v>
      </c>
      <c r="BT318" s="233">
        <v>0</v>
      </c>
      <c r="BU318" s="233">
        <v>0</v>
      </c>
      <c r="BV318" s="233">
        <v>0</v>
      </c>
      <c r="BW318" s="233">
        <v>0</v>
      </c>
      <c r="BX318" s="233">
        <v>0</v>
      </c>
      <c r="BY318" s="234">
        <v>0</v>
      </c>
      <c r="BZ318" s="236" t="s">
        <v>109</v>
      </c>
      <c r="CA318" s="236" t="s">
        <v>109</v>
      </c>
      <c r="CB318" s="236" t="s">
        <v>157</v>
      </c>
      <c r="CC318" s="233">
        <v>1459.4367076999999</v>
      </c>
      <c r="CD318" s="233">
        <v>0.31989830000000002</v>
      </c>
      <c r="CE318" s="233">
        <v>41.661200000000001</v>
      </c>
      <c r="CF318" s="233">
        <v>0</v>
      </c>
      <c r="CG318" s="233">
        <v>0</v>
      </c>
      <c r="CH318" s="233">
        <v>0</v>
      </c>
      <c r="CI318" s="233">
        <v>0</v>
      </c>
      <c r="CJ318" s="237">
        <v>0</v>
      </c>
      <c r="CK318" s="177" t="s">
        <v>128</v>
      </c>
      <c r="CL318" s="177" t="s">
        <v>128</v>
      </c>
      <c r="CM318" s="155" t="s">
        <v>109</v>
      </c>
      <c r="CN318" s="229">
        <v>1</v>
      </c>
      <c r="CO318" s="229">
        <v>0</v>
      </c>
      <c r="CP318" t="s">
        <v>2239</v>
      </c>
      <c r="CR318" s="248"/>
    </row>
    <row r="319" spans="1:96" ht="14.4" x14ac:dyDescent="0.3">
      <c r="A319">
        <v>316</v>
      </c>
      <c r="B319" s="173" t="s">
        <v>2240</v>
      </c>
      <c r="C319" s="259"/>
      <c r="D319" s="260"/>
      <c r="E319" t="s">
        <v>191</v>
      </c>
      <c r="F319" t="s">
        <v>2241</v>
      </c>
      <c r="G319" s="177" t="s">
        <v>240</v>
      </c>
      <c r="H319" s="177" t="s">
        <v>112</v>
      </c>
      <c r="I319" s="177" t="s">
        <v>109</v>
      </c>
      <c r="J319" s="177" t="s">
        <v>109</v>
      </c>
      <c r="K319" s="177" t="s">
        <v>356</v>
      </c>
      <c r="L319" s="177" t="s">
        <v>357</v>
      </c>
      <c r="M319" s="177" t="s">
        <v>109</v>
      </c>
      <c r="N319" s="177" t="s">
        <v>109</v>
      </c>
      <c r="O319" s="180">
        <v>45687</v>
      </c>
      <c r="P319" s="177" t="s">
        <v>2242</v>
      </c>
      <c r="Q319" s="177" t="s">
        <v>109</v>
      </c>
      <c r="R319" s="177" t="s">
        <v>109</v>
      </c>
      <c r="S319" s="177" t="s">
        <v>109</v>
      </c>
      <c r="T319" s="177" t="s">
        <v>404</v>
      </c>
      <c r="U319" s="177" t="s">
        <v>117</v>
      </c>
      <c r="V319" s="177" t="b">
        <v>0</v>
      </c>
      <c r="W319" s="177" t="s">
        <v>109</v>
      </c>
      <c r="X319" s="261"/>
      <c r="Y319" s="177" t="s">
        <v>109</v>
      </c>
      <c r="Z319" s="177">
        <v>1.94</v>
      </c>
      <c r="AA319" s="177">
        <v>138</v>
      </c>
      <c r="AB319" s="177" t="s">
        <v>1313</v>
      </c>
      <c r="AC319" s="177">
        <v>2.1</v>
      </c>
      <c r="AD319" s="177" t="s">
        <v>2243</v>
      </c>
      <c r="AE319" s="177" t="s">
        <v>2217</v>
      </c>
      <c r="AF319" s="177">
        <v>1</v>
      </c>
      <c r="AG319" s="177">
        <v>21156</v>
      </c>
      <c r="AH319" s="177" t="s">
        <v>121</v>
      </c>
      <c r="AI319" s="177" t="b">
        <v>1</v>
      </c>
      <c r="AJ319" s="180">
        <v>44127</v>
      </c>
      <c r="AK319" s="177" t="s">
        <v>122</v>
      </c>
      <c r="AL319" s="177" t="s">
        <v>109</v>
      </c>
      <c r="AM319" s="177" t="s">
        <v>109</v>
      </c>
      <c r="AN319" s="177" t="b">
        <v>0</v>
      </c>
      <c r="AO319" s="177" t="s">
        <v>109</v>
      </c>
      <c r="AP319" s="177" t="s">
        <v>109</v>
      </c>
      <c r="AQ319" s="177" t="s">
        <v>109</v>
      </c>
      <c r="AR319" s="177" t="b">
        <v>1</v>
      </c>
      <c r="AS319" s="177" t="s">
        <v>109</v>
      </c>
      <c r="AT319" s="180" t="s">
        <v>118</v>
      </c>
      <c r="AU319" s="177" t="s">
        <v>109</v>
      </c>
      <c r="AV319" s="177" t="s">
        <v>109</v>
      </c>
      <c r="AW319" s="177" t="s">
        <v>109</v>
      </c>
      <c r="AX319" s="177" t="s">
        <v>109</v>
      </c>
      <c r="AY319" s="177" t="s">
        <v>666</v>
      </c>
      <c r="AZ319" s="177" t="s">
        <v>2244</v>
      </c>
      <c r="BA319" s="177" t="s">
        <v>125</v>
      </c>
      <c r="BB319" s="177">
        <v>2027</v>
      </c>
      <c r="BC319" s="177" t="s">
        <v>425</v>
      </c>
      <c r="BD319" s="177" t="s">
        <v>109</v>
      </c>
      <c r="BE319" s="180" t="s">
        <v>2245</v>
      </c>
      <c r="BF319" s="180" t="s">
        <v>2246</v>
      </c>
      <c r="BG319" s="180" t="s">
        <v>2247</v>
      </c>
      <c r="BH319" s="177" t="s">
        <v>2226</v>
      </c>
      <c r="BI319" s="177" t="s">
        <v>109</v>
      </c>
      <c r="BJ319" s="177" t="b">
        <v>0</v>
      </c>
      <c r="BK319" s="233">
        <v>9681</v>
      </c>
      <c r="BL319" s="234" t="s">
        <v>2248</v>
      </c>
      <c r="BM319" s="233">
        <v>9942.5462838022595</v>
      </c>
      <c r="BN319" s="233">
        <v>2.9937944000000001</v>
      </c>
      <c r="BO319" s="233">
        <v>37.397831199999999</v>
      </c>
      <c r="BP319" s="233">
        <v>104.3317591</v>
      </c>
      <c r="BQ319" s="233">
        <v>77.6388429</v>
      </c>
      <c r="BR319" s="233">
        <v>355.15639599999997</v>
      </c>
      <c r="BS319" s="233">
        <v>71.222781999999995</v>
      </c>
      <c r="BT319" s="233">
        <v>574.25566079999999</v>
      </c>
      <c r="BU319" s="233">
        <v>3339.3022949000001</v>
      </c>
      <c r="BV319" s="233">
        <v>5380.2469226000003</v>
      </c>
      <c r="BW319" s="233">
        <v>0</v>
      </c>
      <c r="BX319" s="233">
        <v>0</v>
      </c>
      <c r="BY319" s="234">
        <v>649</v>
      </c>
      <c r="BZ319" s="236" t="s">
        <v>109</v>
      </c>
      <c r="CA319" s="236" t="s">
        <v>109</v>
      </c>
      <c r="CB319" s="236" t="s">
        <v>109</v>
      </c>
      <c r="CC319" s="233">
        <v>0</v>
      </c>
      <c r="CD319" s="233">
        <v>0</v>
      </c>
      <c r="CE319" s="233">
        <v>0</v>
      </c>
      <c r="CF319" s="233">
        <v>0</v>
      </c>
      <c r="CG319" s="233">
        <v>0</v>
      </c>
      <c r="CH319" s="233">
        <v>0</v>
      </c>
      <c r="CI319" s="233">
        <v>0</v>
      </c>
      <c r="CJ319" s="177">
        <v>0</v>
      </c>
      <c r="CK319" s="177" t="s">
        <v>2249</v>
      </c>
      <c r="CL319" s="177" t="s">
        <v>128</v>
      </c>
      <c r="CM319" s="155" t="s">
        <v>109</v>
      </c>
      <c r="CN319" s="229">
        <v>0</v>
      </c>
      <c r="CO319" s="229">
        <v>1</v>
      </c>
      <c r="CP319" t="s">
        <v>2250</v>
      </c>
      <c r="CR319" s="248"/>
    </row>
    <row r="320" spans="1:96" ht="14.4" x14ac:dyDescent="0.3">
      <c r="A320">
        <v>317</v>
      </c>
      <c r="B320" s="173" t="s">
        <v>2251</v>
      </c>
      <c r="C320" s="259"/>
      <c r="D320" s="260"/>
      <c r="E320" t="s">
        <v>191</v>
      </c>
      <c r="F320" t="s">
        <v>2252</v>
      </c>
      <c r="G320" s="177" t="s">
        <v>233</v>
      </c>
      <c r="H320" s="177" t="s">
        <v>112</v>
      </c>
      <c r="I320" s="177" t="s">
        <v>112</v>
      </c>
      <c r="J320" s="177" t="s">
        <v>109</v>
      </c>
      <c r="K320" s="177" t="s">
        <v>356</v>
      </c>
      <c r="L320" s="177" t="s">
        <v>207</v>
      </c>
      <c r="M320" s="177" t="s">
        <v>706</v>
      </c>
      <c r="N320" s="177" t="s">
        <v>706</v>
      </c>
      <c r="O320" s="180">
        <v>45785</v>
      </c>
      <c r="P320" s="177" t="s">
        <v>109</v>
      </c>
      <c r="Q320" s="177" t="s">
        <v>109</v>
      </c>
      <c r="R320" s="177" t="s">
        <v>109</v>
      </c>
      <c r="S320" s="177" t="s">
        <v>109</v>
      </c>
      <c r="T320" s="177" t="s">
        <v>404</v>
      </c>
      <c r="U320" s="177" t="s">
        <v>117</v>
      </c>
      <c r="V320" s="177" t="b">
        <v>0</v>
      </c>
      <c r="W320" s="177" t="s">
        <v>109</v>
      </c>
      <c r="X320" s="261"/>
      <c r="Y320" s="177" t="s">
        <v>109</v>
      </c>
      <c r="Z320" s="177">
        <v>0.23</v>
      </c>
      <c r="AA320" s="177">
        <v>69</v>
      </c>
      <c r="AB320" s="177" t="s">
        <v>109</v>
      </c>
      <c r="AC320" s="177">
        <v>2.1</v>
      </c>
      <c r="AD320" s="177" t="s">
        <v>2253</v>
      </c>
      <c r="AE320" s="177" t="s">
        <v>2217</v>
      </c>
      <c r="AF320" s="177">
        <v>1</v>
      </c>
      <c r="AG320" s="177">
        <v>21156</v>
      </c>
      <c r="AH320" s="177" t="s">
        <v>121</v>
      </c>
      <c r="AI320" s="177" t="b">
        <v>1</v>
      </c>
      <c r="AJ320" s="180">
        <v>43236</v>
      </c>
      <c r="AK320" s="177" t="s">
        <v>122</v>
      </c>
      <c r="AL320" s="177" t="s">
        <v>109</v>
      </c>
      <c r="AM320" s="177" t="s">
        <v>109</v>
      </c>
      <c r="AN320" s="177" t="b">
        <v>0</v>
      </c>
      <c r="AO320" s="177" t="s">
        <v>109</v>
      </c>
      <c r="AP320" s="177" t="s">
        <v>109</v>
      </c>
      <c r="AQ320" s="177" t="s">
        <v>109</v>
      </c>
      <c r="AR320" s="177" t="b">
        <v>1</v>
      </c>
      <c r="AS320" s="177" t="s">
        <v>1039</v>
      </c>
      <c r="AT320" s="180" t="s">
        <v>118</v>
      </c>
      <c r="AU320" s="177" t="s">
        <v>109</v>
      </c>
      <c r="AV320" s="177" t="s">
        <v>109</v>
      </c>
      <c r="AW320" s="177" t="s">
        <v>109</v>
      </c>
      <c r="AX320" s="177" t="s">
        <v>109</v>
      </c>
      <c r="AY320" s="177" t="s">
        <v>135</v>
      </c>
      <c r="AZ320" s="177" t="s">
        <v>109</v>
      </c>
      <c r="BA320" s="177" t="s">
        <v>218</v>
      </c>
      <c r="BB320" s="177" t="s">
        <v>109</v>
      </c>
      <c r="BC320" s="177" t="s">
        <v>126</v>
      </c>
      <c r="BD320" s="177" t="s">
        <v>109</v>
      </c>
      <c r="BE320" s="180" t="s">
        <v>2254</v>
      </c>
      <c r="BF320" s="180" t="s">
        <v>593</v>
      </c>
      <c r="BG320" s="180" t="s">
        <v>2255</v>
      </c>
      <c r="BH320" s="177" t="s">
        <v>109</v>
      </c>
      <c r="BI320" s="177" t="s">
        <v>109</v>
      </c>
      <c r="BJ320" s="177" t="b">
        <v>0</v>
      </c>
      <c r="BK320" s="233">
        <v>1164.789</v>
      </c>
      <c r="BL320" s="234" t="s">
        <v>128</v>
      </c>
      <c r="BM320" s="233">
        <v>1300.7484062860001</v>
      </c>
      <c r="BN320" s="233">
        <v>820.02503420000005</v>
      </c>
      <c r="BO320" s="233">
        <v>26.357029099999998</v>
      </c>
      <c r="BP320" s="233">
        <v>0</v>
      </c>
      <c r="BQ320" s="233">
        <v>0</v>
      </c>
      <c r="BR320" s="233">
        <v>-0.11745</v>
      </c>
      <c r="BS320" s="233">
        <v>0</v>
      </c>
      <c r="BT320" s="233">
        <v>0</v>
      </c>
      <c r="BU320" s="233">
        <v>0</v>
      </c>
      <c r="BV320" s="233">
        <v>0</v>
      </c>
      <c r="BW320" s="233">
        <v>0</v>
      </c>
      <c r="BX320" s="233">
        <v>0</v>
      </c>
      <c r="BY320" s="234">
        <v>0</v>
      </c>
      <c r="BZ320" s="236" t="s">
        <v>109</v>
      </c>
      <c r="CA320" s="236" t="s">
        <v>109</v>
      </c>
      <c r="CB320" s="236" t="s">
        <v>1020</v>
      </c>
      <c r="CC320" s="233">
        <v>1274.5088272</v>
      </c>
      <c r="CD320" s="233">
        <v>26.357029099999998</v>
      </c>
      <c r="CE320" s="233">
        <v>0</v>
      </c>
      <c r="CF320" s="233">
        <v>0</v>
      </c>
      <c r="CG320" s="233">
        <v>-0.11745</v>
      </c>
      <c r="CH320" s="233">
        <v>0</v>
      </c>
      <c r="CI320" s="233">
        <v>0</v>
      </c>
      <c r="CJ320" s="237">
        <v>0</v>
      </c>
      <c r="CK320" s="177" t="s">
        <v>128</v>
      </c>
      <c r="CL320" s="177" t="s">
        <v>128</v>
      </c>
      <c r="CM320" s="155" t="s">
        <v>109</v>
      </c>
      <c r="CN320" s="229">
        <v>0</v>
      </c>
      <c r="CO320" s="229">
        <v>1</v>
      </c>
      <c r="CP320" t="s">
        <v>2239</v>
      </c>
      <c r="CR320" s="248"/>
    </row>
    <row r="321" spans="1:96" ht="14.4" x14ac:dyDescent="0.3">
      <c r="A321">
        <v>318</v>
      </c>
      <c r="B321" s="173" t="s">
        <v>2256</v>
      </c>
      <c r="C321" s="259"/>
      <c r="D321" s="260"/>
      <c r="E321" t="s">
        <v>191</v>
      </c>
      <c r="F321" t="s">
        <v>2257</v>
      </c>
      <c r="G321" s="177" t="s">
        <v>111</v>
      </c>
      <c r="H321" s="177" t="s">
        <v>112</v>
      </c>
      <c r="I321" s="177" t="s">
        <v>109</v>
      </c>
      <c r="J321" s="177" t="s">
        <v>109</v>
      </c>
      <c r="K321" s="177" t="s">
        <v>356</v>
      </c>
      <c r="L321" s="177" t="s">
        <v>486</v>
      </c>
      <c r="M321" s="177" t="s">
        <v>706</v>
      </c>
      <c r="N321" s="177" t="s">
        <v>706</v>
      </c>
      <c r="O321" s="180">
        <v>45786</v>
      </c>
      <c r="P321" s="177" t="s">
        <v>109</v>
      </c>
      <c r="Q321" s="177" t="s">
        <v>109</v>
      </c>
      <c r="R321" s="177" t="s">
        <v>109</v>
      </c>
      <c r="S321" s="177" t="s">
        <v>109</v>
      </c>
      <c r="T321" s="177" t="s">
        <v>116</v>
      </c>
      <c r="U321" s="177" t="s">
        <v>117</v>
      </c>
      <c r="V321" s="177" t="b">
        <v>0</v>
      </c>
      <c r="W321" s="177" t="s">
        <v>123</v>
      </c>
      <c r="X321" s="261"/>
      <c r="Y321" s="177">
        <v>0.38</v>
      </c>
      <c r="Z321" s="177" t="s">
        <v>109</v>
      </c>
      <c r="AA321" s="177" t="s">
        <v>1884</v>
      </c>
      <c r="AB321" s="177" t="s">
        <v>1433</v>
      </c>
      <c r="AC321" s="177">
        <v>2.1</v>
      </c>
      <c r="AD321" s="177" t="s">
        <v>2258</v>
      </c>
      <c r="AE321" s="177" t="s">
        <v>2217</v>
      </c>
      <c r="AF321" s="177">
        <v>1</v>
      </c>
      <c r="AG321" s="177">
        <v>21156</v>
      </c>
      <c r="AH321" s="177" t="s">
        <v>121</v>
      </c>
      <c r="AI321" s="177" t="b">
        <v>1</v>
      </c>
      <c r="AJ321" s="180">
        <v>45131</v>
      </c>
      <c r="AK321" s="177" t="s">
        <v>122</v>
      </c>
      <c r="AL321" s="177">
        <v>2024</v>
      </c>
      <c r="AM321" s="177" t="s">
        <v>109</v>
      </c>
      <c r="AN321" s="177" t="b">
        <v>0</v>
      </c>
      <c r="AO321" s="177" t="s">
        <v>109</v>
      </c>
      <c r="AP321" s="177" t="s">
        <v>109</v>
      </c>
      <c r="AQ321" s="177" t="s">
        <v>109</v>
      </c>
      <c r="AR321" s="177" t="b">
        <v>1</v>
      </c>
      <c r="AS321" s="177" t="s">
        <v>123</v>
      </c>
      <c r="AT321" s="180" t="s">
        <v>118</v>
      </c>
      <c r="AU321" s="177" t="s">
        <v>109</v>
      </c>
      <c r="AV321" s="177" t="s">
        <v>109</v>
      </c>
      <c r="AW321" s="177" t="s">
        <v>226</v>
      </c>
      <c r="AX321" s="177" t="s">
        <v>118</v>
      </c>
      <c r="AY321" s="177" t="s">
        <v>109</v>
      </c>
      <c r="AZ321" s="177" t="s">
        <v>109</v>
      </c>
      <c r="BA321" s="177" t="s">
        <v>125</v>
      </c>
      <c r="BB321" s="177" t="s">
        <v>109</v>
      </c>
      <c r="BC321" s="177" t="s">
        <v>397</v>
      </c>
      <c r="BD321" s="177" t="s">
        <v>109</v>
      </c>
      <c r="BE321" s="180" t="s">
        <v>109</v>
      </c>
      <c r="BF321" s="180" t="s">
        <v>2259</v>
      </c>
      <c r="BG321" s="180" t="s">
        <v>109</v>
      </c>
      <c r="BH321" s="177" t="s">
        <v>2226</v>
      </c>
      <c r="BI321" s="177" t="s">
        <v>109</v>
      </c>
      <c r="BJ321" s="177" t="b">
        <v>0</v>
      </c>
      <c r="BK321" s="233">
        <v>4013.44</v>
      </c>
      <c r="BL321" s="234" t="s">
        <v>128</v>
      </c>
      <c r="BM321" s="233">
        <v>65688.041958606904</v>
      </c>
      <c r="BN321" s="233">
        <v>0</v>
      </c>
      <c r="BO321" s="233">
        <v>0</v>
      </c>
      <c r="BP321" s="233">
        <v>0</v>
      </c>
      <c r="BQ321" s="233">
        <v>1.2723899999999999</v>
      </c>
      <c r="BR321" s="233">
        <v>156.84046000000001</v>
      </c>
      <c r="BS321" s="233">
        <v>2.55233</v>
      </c>
      <c r="BT321" s="233">
        <v>0</v>
      </c>
      <c r="BU321" s="233">
        <v>0</v>
      </c>
      <c r="BV321" s="233">
        <v>0</v>
      </c>
      <c r="BW321" s="233">
        <v>0</v>
      </c>
      <c r="BX321" s="233">
        <v>65527.376778600003</v>
      </c>
      <c r="BY321" s="234">
        <v>161</v>
      </c>
      <c r="BZ321" s="236" t="s">
        <v>109</v>
      </c>
      <c r="CA321" s="236" t="s">
        <v>109</v>
      </c>
      <c r="CB321" s="236" t="s">
        <v>109</v>
      </c>
      <c r="CC321" s="233">
        <v>0</v>
      </c>
      <c r="CD321" s="233">
        <v>0</v>
      </c>
      <c r="CE321" s="233">
        <v>0</v>
      </c>
      <c r="CF321" s="233">
        <v>0</v>
      </c>
      <c r="CG321" s="233">
        <v>0</v>
      </c>
      <c r="CH321" s="233">
        <v>0</v>
      </c>
      <c r="CI321" s="233">
        <v>0</v>
      </c>
      <c r="CJ321" s="237">
        <v>0</v>
      </c>
      <c r="CK321" s="177" t="s">
        <v>128</v>
      </c>
      <c r="CL321" s="177" t="s">
        <v>128</v>
      </c>
      <c r="CM321" s="155" t="s">
        <v>109</v>
      </c>
      <c r="CN321" s="229">
        <v>1</v>
      </c>
      <c r="CO321" s="229">
        <v>0</v>
      </c>
      <c r="CP321" t="s">
        <v>2260</v>
      </c>
      <c r="CR321" s="248"/>
    </row>
    <row r="322" spans="1:96" ht="14.4" x14ac:dyDescent="0.3">
      <c r="A322">
        <v>319</v>
      </c>
      <c r="B322" s="173" t="s">
        <v>2261</v>
      </c>
      <c r="C322" s="259"/>
      <c r="D322" s="260"/>
      <c r="E322" t="s">
        <v>410</v>
      </c>
      <c r="F322" t="s">
        <v>2262</v>
      </c>
      <c r="G322" s="177" t="s">
        <v>111</v>
      </c>
      <c r="H322" s="177" t="s">
        <v>113</v>
      </c>
      <c r="I322" s="177" t="s">
        <v>109</v>
      </c>
      <c r="J322" s="177" t="s">
        <v>109</v>
      </c>
      <c r="K322" s="177" t="s">
        <v>356</v>
      </c>
      <c r="L322" s="177" t="s">
        <v>357</v>
      </c>
      <c r="M322" s="177" t="s">
        <v>706</v>
      </c>
      <c r="N322" s="177" t="s">
        <v>706</v>
      </c>
      <c r="O322" s="180">
        <v>45757</v>
      </c>
      <c r="P322" s="177" t="s">
        <v>1416</v>
      </c>
      <c r="Q322" s="177" t="s">
        <v>109</v>
      </c>
      <c r="R322" s="177" t="s">
        <v>109</v>
      </c>
      <c r="S322" s="177" t="s">
        <v>109</v>
      </c>
      <c r="T322" s="177" t="s">
        <v>116</v>
      </c>
      <c r="U322" s="177" t="s">
        <v>117</v>
      </c>
      <c r="V322" s="177" t="b">
        <v>0</v>
      </c>
      <c r="W322" s="177" t="s">
        <v>123</v>
      </c>
      <c r="X322" s="261"/>
      <c r="Y322" s="177" t="s">
        <v>109</v>
      </c>
      <c r="Z322" s="177">
        <v>4.58</v>
      </c>
      <c r="AA322" s="177" t="s">
        <v>861</v>
      </c>
      <c r="AB322" s="177" t="s">
        <v>201</v>
      </c>
      <c r="AC322" s="177">
        <v>2.1</v>
      </c>
      <c r="AD322" s="177" t="s">
        <v>2263</v>
      </c>
      <c r="AE322" s="177" t="s">
        <v>2217</v>
      </c>
      <c r="AF322" s="177">
        <v>1</v>
      </c>
      <c r="AG322" s="177">
        <v>21156</v>
      </c>
      <c r="AH322" s="177" t="s">
        <v>121</v>
      </c>
      <c r="AI322" s="177" t="b">
        <v>1</v>
      </c>
      <c r="AJ322" s="180">
        <v>44314</v>
      </c>
      <c r="AK322" s="177" t="s">
        <v>122</v>
      </c>
      <c r="AL322" s="177">
        <v>2022</v>
      </c>
      <c r="AM322" s="177" t="s">
        <v>109</v>
      </c>
      <c r="AN322" s="177" t="b">
        <v>0</v>
      </c>
      <c r="AO322" s="177" t="s">
        <v>109</v>
      </c>
      <c r="AP322" s="177" t="s">
        <v>109</v>
      </c>
      <c r="AQ322" s="177" t="s">
        <v>109</v>
      </c>
      <c r="AR322" s="177" t="b">
        <v>1</v>
      </c>
      <c r="AS322" s="177" t="s">
        <v>109</v>
      </c>
      <c r="AT322" s="180" t="s">
        <v>118</v>
      </c>
      <c r="AU322" s="177" t="s">
        <v>109</v>
      </c>
      <c r="AV322" s="177" t="s">
        <v>109</v>
      </c>
      <c r="AW322" s="177" t="s">
        <v>226</v>
      </c>
      <c r="AX322" s="177" t="s">
        <v>118</v>
      </c>
      <c r="AY322" s="177" t="s">
        <v>135</v>
      </c>
      <c r="AZ322" s="177" t="s">
        <v>109</v>
      </c>
      <c r="BA322" s="177" t="s">
        <v>494</v>
      </c>
      <c r="BB322" s="177" t="s">
        <v>2264</v>
      </c>
      <c r="BC322" s="177" t="s">
        <v>126</v>
      </c>
      <c r="BD322" s="177" t="s">
        <v>109</v>
      </c>
      <c r="BE322" s="180" t="s">
        <v>2265</v>
      </c>
      <c r="BF322" s="180" t="s">
        <v>2266</v>
      </c>
      <c r="BG322" s="180" t="s">
        <v>2267</v>
      </c>
      <c r="BH322" s="177" t="s">
        <v>2226</v>
      </c>
      <c r="BI322" s="177" t="s">
        <v>109</v>
      </c>
      <c r="BJ322" s="177" t="b">
        <v>1</v>
      </c>
      <c r="BK322" s="233">
        <v>359.78915999999998</v>
      </c>
      <c r="BL322" s="234" t="s">
        <v>2232</v>
      </c>
      <c r="BM322" s="233">
        <v>1475.200704182</v>
      </c>
      <c r="BN322" s="233">
        <v>0</v>
      </c>
      <c r="BO322" s="233">
        <v>18.5680467</v>
      </c>
      <c r="BP322" s="233">
        <v>284.55558969999998</v>
      </c>
      <c r="BQ322" s="233">
        <v>495.2360989</v>
      </c>
      <c r="BR322" s="233">
        <v>601.34534599999995</v>
      </c>
      <c r="BS322" s="233">
        <v>74.737095999999994</v>
      </c>
      <c r="BT322" s="233">
        <v>0.75852690000001199</v>
      </c>
      <c r="BU322" s="233">
        <v>0</v>
      </c>
      <c r="BV322" s="233">
        <v>0</v>
      </c>
      <c r="BW322" s="233">
        <v>0</v>
      </c>
      <c r="BX322" s="233">
        <v>0</v>
      </c>
      <c r="BY322" s="234">
        <v>0</v>
      </c>
      <c r="BZ322" s="236" t="s">
        <v>109</v>
      </c>
      <c r="CA322" s="236" t="s">
        <v>109</v>
      </c>
      <c r="CB322" s="236">
        <v>2025</v>
      </c>
      <c r="CC322" s="233">
        <v>0</v>
      </c>
      <c r="CD322" s="233">
        <v>0</v>
      </c>
      <c r="CE322" s="233">
        <v>0</v>
      </c>
      <c r="CF322" s="233">
        <v>0</v>
      </c>
      <c r="CG322" s="233">
        <v>0</v>
      </c>
      <c r="CH322" s="233">
        <v>1474.4421772000001</v>
      </c>
      <c r="CI322" s="233">
        <v>0.75852700000000195</v>
      </c>
      <c r="CJ322" s="177" t="s">
        <v>2268</v>
      </c>
      <c r="CK322" s="177" t="s">
        <v>2269</v>
      </c>
      <c r="CL322" s="177" t="s">
        <v>128</v>
      </c>
      <c r="CM322" s="155" t="s">
        <v>109</v>
      </c>
      <c r="CN322" s="229">
        <v>1</v>
      </c>
      <c r="CO322" s="229">
        <v>0</v>
      </c>
      <c r="CP322" t="s">
        <v>2270</v>
      </c>
      <c r="CR322" s="248"/>
    </row>
    <row r="323" spans="1:96" ht="14.4" x14ac:dyDescent="0.3">
      <c r="A323">
        <v>320</v>
      </c>
      <c r="B323" s="173" t="s">
        <v>2271</v>
      </c>
      <c r="C323" s="259"/>
      <c r="D323" s="260"/>
      <c r="E323" t="s">
        <v>191</v>
      </c>
      <c r="F323" t="s">
        <v>2272</v>
      </c>
      <c r="G323" s="177" t="s">
        <v>111</v>
      </c>
      <c r="H323" s="177" t="s">
        <v>113</v>
      </c>
      <c r="I323" s="177" t="s">
        <v>113</v>
      </c>
      <c r="J323" s="177" t="s">
        <v>109</v>
      </c>
      <c r="K323" s="177" t="s">
        <v>356</v>
      </c>
      <c r="L323" s="177" t="s">
        <v>357</v>
      </c>
      <c r="M323" s="177" t="s">
        <v>706</v>
      </c>
      <c r="N323" s="177" t="s">
        <v>706</v>
      </c>
      <c r="O323" s="180">
        <v>45783</v>
      </c>
      <c r="P323" s="177" t="s">
        <v>109</v>
      </c>
      <c r="Q323" s="177" t="s">
        <v>109</v>
      </c>
      <c r="R323" s="177" t="s">
        <v>109</v>
      </c>
      <c r="S323" s="177" t="s">
        <v>109</v>
      </c>
      <c r="T323" s="177" t="s">
        <v>404</v>
      </c>
      <c r="U323" s="177" t="s">
        <v>117</v>
      </c>
      <c r="V323" s="177" t="b">
        <v>0</v>
      </c>
      <c r="W323" s="177" t="s">
        <v>123</v>
      </c>
      <c r="X323" s="261"/>
      <c r="Y323" s="177" t="s">
        <v>109</v>
      </c>
      <c r="Z323" s="177">
        <v>32.81</v>
      </c>
      <c r="AA323" s="177">
        <v>230</v>
      </c>
      <c r="AB323" s="177" t="s">
        <v>201</v>
      </c>
      <c r="AC323" s="177">
        <v>2.1</v>
      </c>
      <c r="AD323" s="177" t="s">
        <v>2273</v>
      </c>
      <c r="AE323" s="177" t="s">
        <v>2217</v>
      </c>
      <c r="AF323" s="177">
        <v>1</v>
      </c>
      <c r="AG323" s="177">
        <v>21156</v>
      </c>
      <c r="AH323" s="177" t="s">
        <v>121</v>
      </c>
      <c r="AI323" s="177" t="b">
        <v>1</v>
      </c>
      <c r="AJ323" s="180">
        <v>45414</v>
      </c>
      <c r="AK323" s="177" t="s">
        <v>122</v>
      </c>
      <c r="AL323" s="177">
        <v>2024</v>
      </c>
      <c r="AM323" s="177" t="s">
        <v>109</v>
      </c>
      <c r="AN323" s="177" t="b">
        <v>0</v>
      </c>
      <c r="AO323" s="177" t="s">
        <v>109</v>
      </c>
      <c r="AP323" s="177" t="s">
        <v>109</v>
      </c>
      <c r="AQ323" s="177" t="s">
        <v>109</v>
      </c>
      <c r="AR323" s="177" t="b">
        <v>1</v>
      </c>
      <c r="AS323" s="177" t="s">
        <v>123</v>
      </c>
      <c r="AT323" s="180" t="s">
        <v>118</v>
      </c>
      <c r="AU323" s="177" t="s">
        <v>109</v>
      </c>
      <c r="AV323" s="177" t="s">
        <v>109</v>
      </c>
      <c r="AW323" s="177" t="s">
        <v>226</v>
      </c>
      <c r="AX323" s="177" t="s">
        <v>118</v>
      </c>
      <c r="AY323" s="177" t="s">
        <v>135</v>
      </c>
      <c r="AZ323" s="177" t="s">
        <v>109</v>
      </c>
      <c r="BA323" s="177" t="s">
        <v>125</v>
      </c>
      <c r="BB323" s="177" t="s">
        <v>109</v>
      </c>
      <c r="BC323" s="177" t="s">
        <v>546</v>
      </c>
      <c r="BD323" s="177" t="s">
        <v>109</v>
      </c>
      <c r="BE323" s="180" t="s">
        <v>2274</v>
      </c>
      <c r="BF323" s="180" t="s">
        <v>2275</v>
      </c>
      <c r="BG323" s="180" t="s">
        <v>2276</v>
      </c>
      <c r="BH323" s="177" t="s">
        <v>138</v>
      </c>
      <c r="BI323" s="177" t="s">
        <v>109</v>
      </c>
      <c r="BJ323" s="177" t="b">
        <v>0</v>
      </c>
      <c r="BK323" s="233">
        <v>4897</v>
      </c>
      <c r="BL323" s="234" t="s">
        <v>2277</v>
      </c>
      <c r="BM323" s="233">
        <v>4344.8761889241596</v>
      </c>
      <c r="BN323" s="233">
        <v>0</v>
      </c>
      <c r="BO323" s="233">
        <v>0</v>
      </c>
      <c r="BP323" s="233">
        <v>0</v>
      </c>
      <c r="BQ323" s="233">
        <v>0</v>
      </c>
      <c r="BR323" s="233">
        <v>25.725434</v>
      </c>
      <c r="BS323" s="233">
        <v>77.909019999999998</v>
      </c>
      <c r="BT323" s="233">
        <v>293.13386800000001</v>
      </c>
      <c r="BU323" s="233">
        <v>1115.7981373</v>
      </c>
      <c r="BV323" s="233">
        <v>2832.3097296000001</v>
      </c>
      <c r="BW323" s="233">
        <v>0</v>
      </c>
      <c r="BX323" s="233">
        <v>0</v>
      </c>
      <c r="BY323" s="234">
        <v>104</v>
      </c>
      <c r="BZ323" s="236" t="s">
        <v>109</v>
      </c>
      <c r="CA323" s="236" t="s">
        <v>109</v>
      </c>
      <c r="CB323" s="236" t="s">
        <v>109</v>
      </c>
      <c r="CC323" s="233">
        <v>0</v>
      </c>
      <c r="CD323" s="233">
        <v>0</v>
      </c>
      <c r="CE323" s="233">
        <v>0</v>
      </c>
      <c r="CF323" s="233">
        <v>0</v>
      </c>
      <c r="CG323" s="233">
        <v>0</v>
      </c>
      <c r="CH323" s="233">
        <v>0</v>
      </c>
      <c r="CI323" s="233">
        <v>0</v>
      </c>
      <c r="CJ323" s="237">
        <v>0</v>
      </c>
      <c r="CK323" s="177" t="s">
        <v>2278</v>
      </c>
      <c r="CL323" s="177" t="s">
        <v>128</v>
      </c>
      <c r="CM323" s="155" t="s">
        <v>109</v>
      </c>
      <c r="CN323" s="229">
        <v>1</v>
      </c>
      <c r="CO323" s="229">
        <v>0</v>
      </c>
      <c r="CP323" t="s">
        <v>2279</v>
      </c>
      <c r="CR323" s="248"/>
    </row>
    <row r="324" spans="1:96" ht="14.4" x14ac:dyDescent="0.3">
      <c r="A324">
        <v>321</v>
      </c>
      <c r="B324" s="173" t="s">
        <v>2280</v>
      </c>
      <c r="C324" s="259"/>
      <c r="D324" s="260"/>
      <c r="E324" t="s">
        <v>380</v>
      </c>
      <c r="F324" t="s">
        <v>2281</v>
      </c>
      <c r="G324" s="177" t="s">
        <v>111</v>
      </c>
      <c r="H324" s="177" t="s">
        <v>112</v>
      </c>
      <c r="I324" s="177" t="s">
        <v>109</v>
      </c>
      <c r="J324" s="177" t="s">
        <v>109</v>
      </c>
      <c r="K324" s="177" t="s">
        <v>356</v>
      </c>
      <c r="L324" s="177" t="s">
        <v>357</v>
      </c>
      <c r="M324" s="177" t="s">
        <v>706</v>
      </c>
      <c r="N324" s="177" t="s">
        <v>109</v>
      </c>
      <c r="O324" s="180">
        <v>45742</v>
      </c>
      <c r="P324" s="177" t="s">
        <v>109</v>
      </c>
      <c r="Q324" s="177" t="s">
        <v>109</v>
      </c>
      <c r="R324" s="177" t="s">
        <v>109</v>
      </c>
      <c r="S324" s="177" t="s">
        <v>109</v>
      </c>
      <c r="T324" s="177" t="s">
        <v>116</v>
      </c>
      <c r="U324" s="177" t="s">
        <v>117</v>
      </c>
      <c r="V324" s="177" t="b">
        <v>0</v>
      </c>
      <c r="W324" s="177" t="s">
        <v>109</v>
      </c>
      <c r="X324" s="261"/>
      <c r="Y324" s="177" t="s">
        <v>2282</v>
      </c>
      <c r="Z324" s="176">
        <v>55.48</v>
      </c>
      <c r="AA324" s="177" t="s">
        <v>1433</v>
      </c>
      <c r="AB324" s="177" t="s">
        <v>1433</v>
      </c>
      <c r="AC324" s="177">
        <v>2.1</v>
      </c>
      <c r="AD324" s="177" t="s">
        <v>109</v>
      </c>
      <c r="AE324" s="177" t="s">
        <v>2217</v>
      </c>
      <c r="AF324" s="177">
        <v>1</v>
      </c>
      <c r="AG324" s="177">
        <v>21156</v>
      </c>
      <c r="AH324" s="177" t="s">
        <v>121</v>
      </c>
      <c r="AI324" s="177" t="b">
        <v>1</v>
      </c>
      <c r="AJ324" s="180">
        <v>45329</v>
      </c>
      <c r="AK324" s="177" t="s">
        <v>122</v>
      </c>
      <c r="AL324" s="177">
        <v>2024</v>
      </c>
      <c r="AM324" s="177" t="s">
        <v>109</v>
      </c>
      <c r="AN324" s="179" t="b">
        <v>0</v>
      </c>
      <c r="AO324" s="177" t="s">
        <v>109</v>
      </c>
      <c r="AP324" s="177" t="s">
        <v>109</v>
      </c>
      <c r="AQ324" s="177" t="s">
        <v>109</v>
      </c>
      <c r="AR324" s="177" t="b">
        <v>1</v>
      </c>
      <c r="AS324" s="177" t="s">
        <v>123</v>
      </c>
      <c r="AT324" s="180" t="s">
        <v>109</v>
      </c>
      <c r="AU324" s="177" t="s">
        <v>124</v>
      </c>
      <c r="AV324" s="177" t="s">
        <v>109</v>
      </c>
      <c r="AW324" s="177" t="s">
        <v>195</v>
      </c>
      <c r="AX324" s="177" t="s">
        <v>109</v>
      </c>
      <c r="AY324" s="177" t="s">
        <v>2283</v>
      </c>
      <c r="AZ324" s="177" t="s">
        <v>2284</v>
      </c>
      <c r="BA324" s="177" t="s">
        <v>125</v>
      </c>
      <c r="BB324" s="177" t="s">
        <v>2285</v>
      </c>
      <c r="BC324" s="177" t="s">
        <v>546</v>
      </c>
      <c r="BD324" s="177" t="s">
        <v>109</v>
      </c>
      <c r="BE324" s="180" t="s">
        <v>109</v>
      </c>
      <c r="BF324" s="180">
        <v>47102</v>
      </c>
      <c r="BG324" s="180" t="s">
        <v>2286</v>
      </c>
      <c r="BH324" s="177" t="s">
        <v>109</v>
      </c>
      <c r="BI324" s="177" t="s">
        <v>109</v>
      </c>
      <c r="BJ324" s="177" t="b">
        <v>0</v>
      </c>
      <c r="BK324" s="233">
        <v>500.20997</v>
      </c>
      <c r="BL324" s="234" t="s">
        <v>2287</v>
      </c>
      <c r="BM324" s="236">
        <v>183244.85420905799</v>
      </c>
      <c r="BN324" s="236">
        <v>0</v>
      </c>
      <c r="BO324" s="236">
        <v>0</v>
      </c>
      <c r="BP324" s="236">
        <v>0</v>
      </c>
      <c r="BQ324" s="236">
        <v>0</v>
      </c>
      <c r="BR324" s="236">
        <v>47.238050000000001</v>
      </c>
      <c r="BS324" s="236">
        <v>100.12048</v>
      </c>
      <c r="BT324" s="236">
        <v>9.6431678999999892</v>
      </c>
      <c r="BU324" s="236">
        <v>13.893116900000001</v>
      </c>
      <c r="BV324" s="236">
        <v>15.176658400000001</v>
      </c>
      <c r="BW324" s="236">
        <v>16.578782400000001</v>
      </c>
      <c r="BX324" s="236">
        <v>183042.20395349999</v>
      </c>
      <c r="BY324" s="234">
        <v>147</v>
      </c>
      <c r="BZ324" s="236" t="s">
        <v>109</v>
      </c>
      <c r="CA324" s="236" t="s">
        <v>109</v>
      </c>
      <c r="CB324" s="236" t="s">
        <v>109</v>
      </c>
      <c r="CC324" s="236">
        <v>0</v>
      </c>
      <c r="CD324" s="236">
        <v>0</v>
      </c>
      <c r="CE324" s="236">
        <v>0</v>
      </c>
      <c r="CF324" s="236">
        <v>0</v>
      </c>
      <c r="CG324" s="236">
        <v>0</v>
      </c>
      <c r="CH324" s="236">
        <v>0</v>
      </c>
      <c r="CI324" s="236">
        <v>0</v>
      </c>
      <c r="CJ324" s="177" t="s">
        <v>128</v>
      </c>
      <c r="CK324" s="177" t="s">
        <v>2288</v>
      </c>
      <c r="CL324" s="177" t="s">
        <v>128</v>
      </c>
      <c r="CM324" s="155" t="s">
        <v>109</v>
      </c>
      <c r="CN324" s="229">
        <v>1</v>
      </c>
      <c r="CO324" s="229">
        <v>0</v>
      </c>
      <c r="CP324" t="s">
        <v>155</v>
      </c>
      <c r="CR324" s="248"/>
    </row>
    <row r="325" spans="1:96" ht="14.4" x14ac:dyDescent="0.3">
      <c r="A325">
        <v>322</v>
      </c>
      <c r="B325" s="173" t="s">
        <v>2289</v>
      </c>
      <c r="C325" s="259"/>
      <c r="D325" s="260"/>
      <c r="E325" t="s">
        <v>2290</v>
      </c>
      <c r="F325" t="s">
        <v>2291</v>
      </c>
      <c r="G325" s="177" t="s">
        <v>111</v>
      </c>
      <c r="H325" s="177" t="s">
        <v>112</v>
      </c>
      <c r="I325" s="177" t="s">
        <v>112</v>
      </c>
      <c r="J325" s="177" t="s">
        <v>109</v>
      </c>
      <c r="K325" s="177" t="s">
        <v>356</v>
      </c>
      <c r="L325" s="177" t="s">
        <v>486</v>
      </c>
      <c r="M325" s="177" t="s">
        <v>706</v>
      </c>
      <c r="N325" s="177" t="s">
        <v>109</v>
      </c>
      <c r="O325" s="180" t="s">
        <v>109</v>
      </c>
      <c r="P325" s="177" t="s">
        <v>109</v>
      </c>
      <c r="Q325" s="177" t="s">
        <v>109</v>
      </c>
      <c r="R325" s="177" t="s">
        <v>109</v>
      </c>
      <c r="S325" s="177" t="s">
        <v>109</v>
      </c>
      <c r="T325" s="177" t="s">
        <v>200</v>
      </c>
      <c r="U325" s="177" t="s">
        <v>117</v>
      </c>
      <c r="V325" s="177" t="b">
        <v>0</v>
      </c>
      <c r="W325" s="177" t="s">
        <v>109</v>
      </c>
      <c r="X325" s="261"/>
      <c r="Y325" s="177" t="s">
        <v>2292</v>
      </c>
      <c r="Z325" s="176" t="s">
        <v>2293</v>
      </c>
      <c r="AA325" s="177" t="s">
        <v>1313</v>
      </c>
      <c r="AB325" s="177" t="s">
        <v>1313</v>
      </c>
      <c r="AC325" s="177">
        <v>2.1</v>
      </c>
      <c r="AD325" s="177" t="s">
        <v>2294</v>
      </c>
      <c r="AE325" s="177" t="s">
        <v>2217</v>
      </c>
      <c r="AF325" s="177">
        <v>1</v>
      </c>
      <c r="AG325" s="177">
        <v>21156</v>
      </c>
      <c r="AH325" s="177" t="s">
        <v>121</v>
      </c>
      <c r="AI325" s="177" t="b">
        <v>1</v>
      </c>
      <c r="AJ325" s="180">
        <v>44734</v>
      </c>
      <c r="AK325" s="177" t="s">
        <v>122</v>
      </c>
      <c r="AL325" s="177">
        <v>2023</v>
      </c>
      <c r="AM325" s="177" t="s">
        <v>109</v>
      </c>
      <c r="AN325" s="179" t="b">
        <v>0</v>
      </c>
      <c r="AO325" s="177" t="s">
        <v>109</v>
      </c>
      <c r="AP325" s="177" t="s">
        <v>109</v>
      </c>
      <c r="AQ325" s="177" t="s">
        <v>109</v>
      </c>
      <c r="AR325" s="177" t="b">
        <v>1</v>
      </c>
      <c r="AS325" s="177" t="s">
        <v>123</v>
      </c>
      <c r="AT325" s="180" t="s">
        <v>109</v>
      </c>
      <c r="AU325" s="177" t="s">
        <v>124</v>
      </c>
      <c r="AV325" s="177" t="s">
        <v>109</v>
      </c>
      <c r="AW325" s="177" t="s">
        <v>195</v>
      </c>
      <c r="AX325" s="177" t="s">
        <v>109</v>
      </c>
      <c r="AY325" s="177" t="s">
        <v>135</v>
      </c>
      <c r="AZ325" s="177" t="s">
        <v>109</v>
      </c>
      <c r="BA325" s="177" t="s">
        <v>218</v>
      </c>
      <c r="BB325" s="177" t="s">
        <v>2295</v>
      </c>
      <c r="BC325" s="177" t="s">
        <v>425</v>
      </c>
      <c r="BD325" s="177" t="s">
        <v>109</v>
      </c>
      <c r="BE325" s="180">
        <v>46023</v>
      </c>
      <c r="BF325" s="180">
        <v>45797</v>
      </c>
      <c r="BG325" s="180">
        <v>46783</v>
      </c>
      <c r="BH325" s="177" t="s">
        <v>2226</v>
      </c>
      <c r="BI325" s="177" t="s">
        <v>109</v>
      </c>
      <c r="BJ325" s="177" t="b">
        <v>1</v>
      </c>
      <c r="BK325" s="233">
        <v>48.085769999999997</v>
      </c>
      <c r="BL325" s="234" t="s">
        <v>2296</v>
      </c>
      <c r="BM325" s="236">
        <v>27385.376898522802</v>
      </c>
      <c r="BN325" s="236">
        <v>0</v>
      </c>
      <c r="BO325" s="236">
        <v>0</v>
      </c>
      <c r="BP325" s="236">
        <v>0.92185280000000003</v>
      </c>
      <c r="BQ325" s="236">
        <v>3.3306599999999999E-2</v>
      </c>
      <c r="BR325" s="236">
        <v>15.980384000000001</v>
      </c>
      <c r="BS325" s="236">
        <v>727.02447400000005</v>
      </c>
      <c r="BT325" s="236">
        <v>163.57675510000001</v>
      </c>
      <c r="BU325" s="236">
        <v>443.00220250000001</v>
      </c>
      <c r="BV325" s="236">
        <v>234.47400780000001</v>
      </c>
      <c r="BW325" s="236">
        <v>25800.363915699902</v>
      </c>
      <c r="BX325" s="236">
        <v>0</v>
      </c>
      <c r="BY325" s="234">
        <v>744</v>
      </c>
      <c r="BZ325" s="236" t="s">
        <v>109</v>
      </c>
      <c r="CA325" s="236" t="s">
        <v>109</v>
      </c>
      <c r="CB325" s="236">
        <v>2025</v>
      </c>
      <c r="CC325" s="236">
        <v>0</v>
      </c>
      <c r="CD325" s="236">
        <v>0</v>
      </c>
      <c r="CE325" s="236">
        <v>0</v>
      </c>
      <c r="CF325" s="236">
        <v>0</v>
      </c>
      <c r="CG325" s="236">
        <v>0</v>
      </c>
      <c r="CH325" s="236">
        <v>0</v>
      </c>
      <c r="CI325" s="236">
        <v>907.53677240000002</v>
      </c>
      <c r="CJ325" s="177" t="s">
        <v>128</v>
      </c>
      <c r="CK325" s="239" t="s">
        <v>2297</v>
      </c>
      <c r="CL325" s="177" t="s">
        <v>128</v>
      </c>
      <c r="CM325" s="155" t="s">
        <v>109</v>
      </c>
      <c r="CN325" s="229">
        <v>0</v>
      </c>
      <c r="CO325" s="229">
        <v>1</v>
      </c>
      <c r="CP325" t="s">
        <v>2298</v>
      </c>
      <c r="CR325" s="248"/>
    </row>
    <row r="326" spans="1:96" ht="14.4" x14ac:dyDescent="0.3">
      <c r="A326">
        <v>323</v>
      </c>
      <c r="B326" s="173" t="s">
        <v>2299</v>
      </c>
      <c r="C326" s="259"/>
      <c r="D326" s="260"/>
      <c r="E326" t="s">
        <v>2300</v>
      </c>
      <c r="F326" t="s">
        <v>2301</v>
      </c>
      <c r="G326" s="177" t="s">
        <v>233</v>
      </c>
      <c r="H326" s="177" t="s">
        <v>112</v>
      </c>
      <c r="I326" s="177" t="s">
        <v>109</v>
      </c>
      <c r="J326" s="177" t="s">
        <v>109</v>
      </c>
      <c r="K326" s="177" t="s">
        <v>662</v>
      </c>
      <c r="L326" s="177" t="s">
        <v>214</v>
      </c>
      <c r="M326" s="177" t="s">
        <v>109</v>
      </c>
      <c r="N326" s="177" t="s">
        <v>109</v>
      </c>
      <c r="O326" s="180" t="s">
        <v>109</v>
      </c>
      <c r="P326" s="177" t="s">
        <v>917</v>
      </c>
      <c r="Q326" s="177" t="s">
        <v>109</v>
      </c>
      <c r="R326" s="177" t="s">
        <v>109</v>
      </c>
      <c r="S326" s="177" t="s">
        <v>109</v>
      </c>
      <c r="T326" s="177" t="s">
        <v>2302</v>
      </c>
      <c r="U326" s="177" t="s">
        <v>117</v>
      </c>
      <c r="V326" s="177" t="b">
        <v>0</v>
      </c>
      <c r="W326" s="177" t="s">
        <v>109</v>
      </c>
      <c r="X326" s="261"/>
      <c r="Y326" s="177" t="s">
        <v>118</v>
      </c>
      <c r="Z326" s="177" t="s">
        <v>118</v>
      </c>
      <c r="AA326" s="177" t="s">
        <v>109</v>
      </c>
      <c r="AB326" s="177" t="s">
        <v>109</v>
      </c>
      <c r="AC326" s="177">
        <v>1.2</v>
      </c>
      <c r="AD326" s="177" t="s">
        <v>109</v>
      </c>
      <c r="AE326" s="177" t="s">
        <v>2303</v>
      </c>
      <c r="AF326" s="177">
        <v>1</v>
      </c>
      <c r="AG326" s="177">
        <v>21256</v>
      </c>
      <c r="AH326" s="177" t="s">
        <v>121</v>
      </c>
      <c r="AI326" s="177" t="b">
        <v>1</v>
      </c>
      <c r="AJ326" s="180">
        <v>45783</v>
      </c>
      <c r="AK326" s="177" t="s">
        <v>122</v>
      </c>
      <c r="AL326" s="177">
        <v>2021</v>
      </c>
      <c r="AM326" s="177" t="s">
        <v>109</v>
      </c>
      <c r="AN326" s="177" t="b">
        <v>0</v>
      </c>
      <c r="AO326" s="177" t="s">
        <v>109</v>
      </c>
      <c r="AP326" s="177" t="s">
        <v>109</v>
      </c>
      <c r="AQ326" s="177" t="s">
        <v>118</v>
      </c>
      <c r="AR326" s="177" t="b">
        <v>0</v>
      </c>
      <c r="AS326" s="177" t="s">
        <v>123</v>
      </c>
      <c r="AT326" s="180" t="s">
        <v>123</v>
      </c>
      <c r="AU326" s="177" t="s">
        <v>124</v>
      </c>
      <c r="AV326" s="177" t="s">
        <v>109</v>
      </c>
      <c r="AW326" s="177" t="s">
        <v>109</v>
      </c>
      <c r="AX326" s="177" t="s">
        <v>118</v>
      </c>
      <c r="AY326" s="177" t="s">
        <v>109</v>
      </c>
      <c r="AZ326" s="177" t="s">
        <v>109</v>
      </c>
      <c r="BA326" s="177" t="s">
        <v>125</v>
      </c>
      <c r="BB326" s="177" t="s">
        <v>118</v>
      </c>
      <c r="BC326" s="177" t="s">
        <v>126</v>
      </c>
      <c r="BD326" s="177" t="s">
        <v>109</v>
      </c>
      <c r="BE326" s="180" t="s">
        <v>2304</v>
      </c>
      <c r="BF326" s="180" t="s">
        <v>137</v>
      </c>
      <c r="BG326" s="180" t="s">
        <v>2305</v>
      </c>
      <c r="BH326" s="177" t="s">
        <v>109</v>
      </c>
      <c r="BI326" s="177" t="s">
        <v>109</v>
      </c>
      <c r="BJ326" s="177" t="b">
        <v>1</v>
      </c>
      <c r="BK326" s="233">
        <v>2119.60806</v>
      </c>
      <c r="BL326" s="234" t="s">
        <v>128</v>
      </c>
      <c r="BM326" s="233">
        <v>2361.91463213117</v>
      </c>
      <c r="BN326" s="233">
        <v>0</v>
      </c>
      <c r="BO326" s="233">
        <v>368.21720499999998</v>
      </c>
      <c r="BP326" s="233">
        <v>1658.2979668999999</v>
      </c>
      <c r="BQ326" s="233">
        <v>208.64233899999999</v>
      </c>
      <c r="BR326" s="233">
        <v>116.6109264</v>
      </c>
      <c r="BS326" s="233">
        <v>4.0305347999999999</v>
      </c>
      <c r="BT326" s="233">
        <v>6.1156600000000001</v>
      </c>
      <c r="BU326" s="233">
        <v>0</v>
      </c>
      <c r="BV326" s="233">
        <v>0</v>
      </c>
      <c r="BW326" s="233">
        <v>0</v>
      </c>
      <c r="BX326" s="233">
        <v>0</v>
      </c>
      <c r="BY326" s="234">
        <v>0</v>
      </c>
      <c r="BZ326" s="236" t="s">
        <v>109</v>
      </c>
      <c r="CA326" s="236" t="s">
        <v>109</v>
      </c>
      <c r="CB326" s="236" t="s">
        <v>154</v>
      </c>
      <c r="CC326" s="233">
        <v>0</v>
      </c>
      <c r="CD326" s="233">
        <v>0</v>
      </c>
      <c r="CE326" s="233">
        <v>0</v>
      </c>
      <c r="CF326" s="233">
        <v>2235.1575109</v>
      </c>
      <c r="CG326" s="233">
        <v>116.6109264</v>
      </c>
      <c r="CH326" s="233">
        <v>4.0305347999999999</v>
      </c>
      <c r="CI326" s="233">
        <v>6.1156600000000001</v>
      </c>
      <c r="CJ326" s="237">
        <v>0</v>
      </c>
      <c r="CK326" s="177" t="s">
        <v>128</v>
      </c>
      <c r="CL326" s="177" t="s">
        <v>128</v>
      </c>
      <c r="CM326" s="155" t="s">
        <v>109</v>
      </c>
      <c r="CN326" s="229">
        <v>0</v>
      </c>
      <c r="CO326" s="229">
        <v>0</v>
      </c>
      <c r="CP326" t="s">
        <v>2306</v>
      </c>
      <c r="CR326" s="248"/>
    </row>
    <row r="327" spans="1:96" ht="14.4" x14ac:dyDescent="0.3">
      <c r="A327">
        <v>324</v>
      </c>
      <c r="B327" s="173" t="s">
        <v>2307</v>
      </c>
      <c r="C327" s="259"/>
      <c r="D327" s="260"/>
      <c r="E327" t="s">
        <v>191</v>
      </c>
      <c r="F327" t="s">
        <v>2308</v>
      </c>
      <c r="G327" s="177" t="s">
        <v>661</v>
      </c>
      <c r="H327" s="177" t="s">
        <v>958</v>
      </c>
      <c r="I327" s="177" t="s">
        <v>109</v>
      </c>
      <c r="J327" s="177" t="s">
        <v>109</v>
      </c>
      <c r="K327" s="177" t="s">
        <v>134</v>
      </c>
      <c r="L327" s="177" t="s">
        <v>1158</v>
      </c>
      <c r="M327" s="177" t="s">
        <v>109</v>
      </c>
      <c r="N327" s="177" t="s">
        <v>109</v>
      </c>
      <c r="O327" s="180">
        <v>45708</v>
      </c>
      <c r="P327" s="177" t="s">
        <v>2309</v>
      </c>
      <c r="Q327" s="177" t="s">
        <v>109</v>
      </c>
      <c r="R327" s="177" t="s">
        <v>109</v>
      </c>
      <c r="S327" s="177" t="s">
        <v>109</v>
      </c>
      <c r="T327" s="177" t="s">
        <v>116</v>
      </c>
      <c r="U327" s="177" t="s">
        <v>117</v>
      </c>
      <c r="V327" s="177" t="b">
        <v>0</v>
      </c>
      <c r="W327" s="177" t="s">
        <v>123</v>
      </c>
      <c r="X327" s="261"/>
      <c r="Y327" s="177">
        <v>0.24</v>
      </c>
      <c r="Z327" s="177" t="s">
        <v>109</v>
      </c>
      <c r="AA327" s="177">
        <v>69</v>
      </c>
      <c r="AB327" s="177" t="s">
        <v>109</v>
      </c>
      <c r="AC327" s="177">
        <v>1.4</v>
      </c>
      <c r="AD327" s="177" t="s">
        <v>2310</v>
      </c>
      <c r="AE327" s="177" t="s">
        <v>2311</v>
      </c>
      <c r="AF327" s="177">
        <v>1</v>
      </c>
      <c r="AG327" s="177">
        <v>22125</v>
      </c>
      <c r="AH327" s="177" t="s">
        <v>121</v>
      </c>
      <c r="AI327" s="177" t="b">
        <v>1</v>
      </c>
      <c r="AJ327" s="180">
        <v>44740</v>
      </c>
      <c r="AK327" s="177" t="s">
        <v>122</v>
      </c>
      <c r="AL327" s="177">
        <v>2023</v>
      </c>
      <c r="AM327" s="177" t="s">
        <v>109</v>
      </c>
      <c r="AN327" s="177" t="b">
        <v>0</v>
      </c>
      <c r="AO327" s="177" t="s">
        <v>109</v>
      </c>
      <c r="AP327" s="177" t="s">
        <v>109</v>
      </c>
      <c r="AQ327" s="177" t="s">
        <v>109</v>
      </c>
      <c r="AR327" s="177" t="b">
        <v>0</v>
      </c>
      <c r="AS327" s="177" t="s">
        <v>123</v>
      </c>
      <c r="AT327" s="180" t="s">
        <v>118</v>
      </c>
      <c r="AU327" s="177" t="s">
        <v>109</v>
      </c>
      <c r="AV327" s="177" t="s">
        <v>109</v>
      </c>
      <c r="AW327" s="177" t="s">
        <v>226</v>
      </c>
      <c r="AX327" s="177" t="s">
        <v>109</v>
      </c>
      <c r="AY327" s="177" t="s">
        <v>666</v>
      </c>
      <c r="AZ327" s="177" t="s">
        <v>109</v>
      </c>
      <c r="BA327" s="177" t="s">
        <v>125</v>
      </c>
      <c r="BB327" s="177">
        <v>2025</v>
      </c>
      <c r="BC327" s="177" t="s">
        <v>425</v>
      </c>
      <c r="BD327" s="177" t="s">
        <v>109</v>
      </c>
      <c r="BE327" s="180" t="s">
        <v>2312</v>
      </c>
      <c r="BF327" s="180" t="s">
        <v>227</v>
      </c>
      <c r="BG327" s="180" t="s">
        <v>2313</v>
      </c>
      <c r="BH327" s="177" t="s">
        <v>109</v>
      </c>
      <c r="BI327" s="177" t="s">
        <v>109</v>
      </c>
      <c r="BJ327" s="177" t="b">
        <v>0</v>
      </c>
      <c r="BK327" s="233">
        <v>3500.4883500000001</v>
      </c>
      <c r="BL327" s="234" t="s">
        <v>128</v>
      </c>
      <c r="BM327" s="233">
        <v>231.40210486662099</v>
      </c>
      <c r="BN327" s="233">
        <v>0</v>
      </c>
      <c r="BO327" s="233">
        <v>0</v>
      </c>
      <c r="BP327" s="233">
        <v>-339.63825000000003</v>
      </c>
      <c r="BQ327" s="233">
        <v>110.59404000000001</v>
      </c>
      <c r="BR327" s="233">
        <v>-125.69681</v>
      </c>
      <c r="BS327" s="233">
        <v>92.242199999999997</v>
      </c>
      <c r="BT327" s="233">
        <v>-578.96843660000002</v>
      </c>
      <c r="BU327" s="233">
        <v>1072.8693615</v>
      </c>
      <c r="BV327" s="233">
        <v>0</v>
      </c>
      <c r="BW327" s="233">
        <v>0</v>
      </c>
      <c r="BX327" s="233">
        <v>0</v>
      </c>
      <c r="BY327" s="234">
        <v>-262</v>
      </c>
      <c r="BZ327" s="236" t="s">
        <v>109</v>
      </c>
      <c r="CA327" s="236" t="s">
        <v>109</v>
      </c>
      <c r="CB327" s="236" t="s">
        <v>109</v>
      </c>
      <c r="CC327" s="233">
        <v>0</v>
      </c>
      <c r="CD327" s="233">
        <v>0</v>
      </c>
      <c r="CE327" s="233">
        <v>0</v>
      </c>
      <c r="CF327" s="233">
        <v>0</v>
      </c>
      <c r="CG327" s="233">
        <v>0</v>
      </c>
      <c r="CH327" s="233">
        <v>0</v>
      </c>
      <c r="CI327" s="233">
        <v>0</v>
      </c>
      <c r="CJ327" s="237">
        <v>0</v>
      </c>
      <c r="CK327" s="177" t="s">
        <v>128</v>
      </c>
      <c r="CL327" s="177" t="s">
        <v>128</v>
      </c>
      <c r="CM327" s="155" t="s">
        <v>109</v>
      </c>
      <c r="CN327" s="229">
        <v>0</v>
      </c>
      <c r="CO327" s="229">
        <v>1</v>
      </c>
      <c r="CP327" t="s">
        <v>155</v>
      </c>
      <c r="CR327" s="248"/>
    </row>
    <row r="328" spans="1:96" ht="14.4" x14ac:dyDescent="0.3">
      <c r="A328">
        <v>325</v>
      </c>
      <c r="B328" s="173" t="s">
        <v>2314</v>
      </c>
      <c r="C328" s="259"/>
      <c r="D328" s="260"/>
      <c r="E328" t="s">
        <v>109</v>
      </c>
      <c r="F328" t="s">
        <v>2315</v>
      </c>
      <c r="G328" s="177" t="s">
        <v>111</v>
      </c>
      <c r="H328" s="177" t="s">
        <v>113</v>
      </c>
      <c r="I328" s="177" t="s">
        <v>109</v>
      </c>
      <c r="J328" s="177" t="s">
        <v>109</v>
      </c>
      <c r="K328" s="177" t="s">
        <v>114</v>
      </c>
      <c r="L328" s="177" t="s">
        <v>159</v>
      </c>
      <c r="M328" s="177" t="s">
        <v>109</v>
      </c>
      <c r="N328" s="177" t="s">
        <v>109</v>
      </c>
      <c r="O328" s="180" t="s">
        <v>109</v>
      </c>
      <c r="P328" s="177" t="s">
        <v>109</v>
      </c>
      <c r="Q328" s="177" t="s">
        <v>109</v>
      </c>
      <c r="R328" s="177" t="s">
        <v>109</v>
      </c>
      <c r="S328" s="177" t="s">
        <v>109</v>
      </c>
      <c r="T328" s="177" t="s">
        <v>116</v>
      </c>
      <c r="U328" s="177" t="s">
        <v>117</v>
      </c>
      <c r="V328" s="177" t="b">
        <v>0</v>
      </c>
      <c r="W328" s="177" t="s">
        <v>109</v>
      </c>
      <c r="X328" s="261"/>
      <c r="Y328" s="177" t="s">
        <v>118</v>
      </c>
      <c r="Z328" s="177" t="s">
        <v>118</v>
      </c>
      <c r="AA328" s="177" t="s">
        <v>119</v>
      </c>
      <c r="AB328" s="177" t="s">
        <v>434</v>
      </c>
      <c r="AC328" s="177">
        <v>4.3</v>
      </c>
      <c r="AD328" s="177" t="s">
        <v>119</v>
      </c>
      <c r="AE328" s="177" t="s">
        <v>2316</v>
      </c>
      <c r="AF328" s="177">
        <v>9</v>
      </c>
      <c r="AG328" s="177">
        <v>22126</v>
      </c>
      <c r="AH328" s="177" t="s">
        <v>121</v>
      </c>
      <c r="AI328" s="177" t="b">
        <v>1</v>
      </c>
      <c r="AJ328" s="180">
        <v>45637</v>
      </c>
      <c r="AK328" s="177" t="s">
        <v>122</v>
      </c>
      <c r="AL328" s="177" t="s">
        <v>109</v>
      </c>
      <c r="AM328" s="177" t="s">
        <v>109</v>
      </c>
      <c r="AN328" s="177" t="b">
        <v>0</v>
      </c>
      <c r="AO328" s="177" t="s">
        <v>109</v>
      </c>
      <c r="AP328" s="177" t="s">
        <v>109</v>
      </c>
      <c r="AQ328" s="177" t="s">
        <v>118</v>
      </c>
      <c r="AR328" s="177" t="b">
        <v>0</v>
      </c>
      <c r="AS328" s="177" t="s">
        <v>123</v>
      </c>
      <c r="AT328" s="180" t="s">
        <v>123</v>
      </c>
      <c r="AU328" s="177" t="s">
        <v>109</v>
      </c>
      <c r="AV328" s="177" t="s">
        <v>109</v>
      </c>
      <c r="AW328" s="177" t="s">
        <v>118</v>
      </c>
      <c r="AX328" s="177" t="s">
        <v>118</v>
      </c>
      <c r="AY328" s="177" t="s">
        <v>135</v>
      </c>
      <c r="AZ328" s="177" t="s">
        <v>109</v>
      </c>
      <c r="BA328" s="177" t="s">
        <v>125</v>
      </c>
      <c r="BB328" s="177" t="s">
        <v>109</v>
      </c>
      <c r="BC328" s="177" t="s">
        <v>126</v>
      </c>
      <c r="BD328" s="177" t="s">
        <v>109</v>
      </c>
      <c r="BE328" s="180" t="s">
        <v>109</v>
      </c>
      <c r="BF328" s="180" t="s">
        <v>127</v>
      </c>
      <c r="BG328" s="180" t="s">
        <v>119</v>
      </c>
      <c r="BH328" s="177" t="s">
        <v>109</v>
      </c>
      <c r="BI328" s="177" t="s">
        <v>109</v>
      </c>
      <c r="BJ328" s="177" t="b">
        <v>1</v>
      </c>
      <c r="BK328" s="233" t="s">
        <v>118</v>
      </c>
      <c r="BL328" s="234" t="s">
        <v>128</v>
      </c>
      <c r="BM328" s="233">
        <v>11924.200338877101</v>
      </c>
      <c r="BN328" s="233">
        <v>28.547054599999999</v>
      </c>
      <c r="BO328" s="233">
        <v>33.6898318</v>
      </c>
      <c r="BP328" s="233">
        <v>491.09300109999998</v>
      </c>
      <c r="BQ328" s="233">
        <v>866.19930420000003</v>
      </c>
      <c r="BR328" s="233">
        <v>531.53908999999999</v>
      </c>
      <c r="BS328" s="233">
        <v>473.3689</v>
      </c>
      <c r="BT328" s="233">
        <v>703.75342539999997</v>
      </c>
      <c r="BU328" s="233">
        <v>667.24362480000002</v>
      </c>
      <c r="BV328" s="233">
        <v>669.02853970000001</v>
      </c>
      <c r="BW328" s="233">
        <v>737.06597509999995</v>
      </c>
      <c r="BX328" s="233">
        <v>822.09916480000004</v>
      </c>
      <c r="BY328" s="234">
        <v>1064.4102800000001</v>
      </c>
      <c r="BZ328" s="236" t="s">
        <v>109</v>
      </c>
      <c r="CA328" s="236" t="s">
        <v>109</v>
      </c>
      <c r="CB328" s="236" t="s">
        <v>2317</v>
      </c>
      <c r="CC328" s="233">
        <v>0</v>
      </c>
      <c r="CD328" s="233">
        <v>2.35362E-2</v>
      </c>
      <c r="CE328" s="233">
        <v>0</v>
      </c>
      <c r="CF328" s="233">
        <v>664.45885529999998</v>
      </c>
      <c r="CG328" s="233">
        <v>615.92948999999999</v>
      </c>
      <c r="CH328" s="233">
        <v>244.73792</v>
      </c>
      <c r="CI328" s="233">
        <v>942.38642900000002</v>
      </c>
      <c r="CJ328" s="237">
        <v>0</v>
      </c>
      <c r="CK328" s="177" t="s">
        <v>128</v>
      </c>
      <c r="CL328" s="177">
        <v>26.1</v>
      </c>
      <c r="CM328" s="155" t="s">
        <v>109</v>
      </c>
      <c r="CN328" s="229">
        <v>0.13550000000000001</v>
      </c>
      <c r="CO328" s="229">
        <v>0.86450000000000005</v>
      </c>
      <c r="CP328" t="s">
        <v>155</v>
      </c>
      <c r="CR328" s="248"/>
    </row>
    <row r="329" spans="1:96" ht="14.4" x14ac:dyDescent="0.3">
      <c r="A329">
        <v>326</v>
      </c>
      <c r="B329" s="173" t="s">
        <v>2319</v>
      </c>
      <c r="C329" s="259"/>
      <c r="D329" s="260"/>
      <c r="E329" t="s">
        <v>109</v>
      </c>
      <c r="F329" t="s">
        <v>2320</v>
      </c>
      <c r="G329" s="177" t="s">
        <v>274</v>
      </c>
      <c r="H329" s="177" t="s">
        <v>112</v>
      </c>
      <c r="I329" s="177" t="s">
        <v>109</v>
      </c>
      <c r="J329" s="177" t="s">
        <v>109</v>
      </c>
      <c r="K329" s="177" t="s">
        <v>662</v>
      </c>
      <c r="L329" s="177" t="s">
        <v>235</v>
      </c>
      <c r="M329" s="177" t="s">
        <v>109</v>
      </c>
      <c r="N329" s="177" t="s">
        <v>109</v>
      </c>
      <c r="O329" s="180" t="s">
        <v>109</v>
      </c>
      <c r="P329" s="177" t="s">
        <v>917</v>
      </c>
      <c r="Q329" s="177" t="s">
        <v>109</v>
      </c>
      <c r="R329" s="177" t="s">
        <v>109</v>
      </c>
      <c r="S329" s="177" t="s">
        <v>109</v>
      </c>
      <c r="T329" s="177" t="s">
        <v>116</v>
      </c>
      <c r="U329" s="177" t="s">
        <v>1563</v>
      </c>
      <c r="V329" s="177" t="b">
        <v>0</v>
      </c>
      <c r="W329" s="177" t="s">
        <v>109</v>
      </c>
      <c r="X329" s="261"/>
      <c r="Y329" s="177" t="s">
        <v>109</v>
      </c>
      <c r="Z329" s="177" t="s">
        <v>109</v>
      </c>
      <c r="AA329" s="177" t="s">
        <v>109</v>
      </c>
      <c r="AB329" s="177" t="s">
        <v>109</v>
      </c>
      <c r="AC329" s="177">
        <v>1.2</v>
      </c>
      <c r="AD329" s="177">
        <v>53030</v>
      </c>
      <c r="AE329" s="177" t="s">
        <v>2321</v>
      </c>
      <c r="AF329" s="177">
        <v>1</v>
      </c>
      <c r="AG329" s="177">
        <v>22255</v>
      </c>
      <c r="AH329" s="177" t="s">
        <v>121</v>
      </c>
      <c r="AI329" s="177" t="b">
        <v>1</v>
      </c>
      <c r="AJ329" s="180">
        <v>45107</v>
      </c>
      <c r="AK329" s="177" t="s">
        <v>122</v>
      </c>
      <c r="AL329" s="177">
        <v>2022</v>
      </c>
      <c r="AM329" s="177" t="s">
        <v>109</v>
      </c>
      <c r="AN329" s="177" t="b">
        <v>0</v>
      </c>
      <c r="AO329" s="177" t="s">
        <v>109</v>
      </c>
      <c r="AP329" s="177" t="s">
        <v>109</v>
      </c>
      <c r="AQ329" s="177" t="s">
        <v>109</v>
      </c>
      <c r="AR329" s="177" t="b">
        <v>0</v>
      </c>
      <c r="AS329" s="177" t="s">
        <v>123</v>
      </c>
      <c r="AT329" s="180" t="s">
        <v>123</v>
      </c>
      <c r="AU329" s="177" t="s">
        <v>124</v>
      </c>
      <c r="AV329" s="177" t="s">
        <v>109</v>
      </c>
      <c r="AW329" s="177" t="s">
        <v>109</v>
      </c>
      <c r="AX329" s="177" t="s">
        <v>109</v>
      </c>
      <c r="AY329" s="177" t="s">
        <v>109</v>
      </c>
      <c r="AZ329" s="177" t="s">
        <v>109</v>
      </c>
      <c r="BA329" s="177" t="s">
        <v>125</v>
      </c>
      <c r="BB329" s="177" t="s">
        <v>109</v>
      </c>
      <c r="BC329" s="177" t="s">
        <v>126</v>
      </c>
      <c r="BD329" s="177" t="s">
        <v>109</v>
      </c>
      <c r="BE329" s="180" t="s">
        <v>109</v>
      </c>
      <c r="BF329" s="180" t="s">
        <v>2322</v>
      </c>
      <c r="BG329" s="180">
        <v>45657</v>
      </c>
      <c r="BH329" s="177" t="s">
        <v>109</v>
      </c>
      <c r="BI329" s="177" t="s">
        <v>109</v>
      </c>
      <c r="BJ329" s="250" t="b">
        <v>1</v>
      </c>
      <c r="BK329" s="233">
        <v>247.33045000000001</v>
      </c>
      <c r="BL329" s="234" t="s">
        <v>128</v>
      </c>
      <c r="BM329" s="254">
        <v>1157.221</v>
      </c>
      <c r="BN329" s="254">
        <v>0</v>
      </c>
      <c r="BO329" s="254">
        <v>0</v>
      </c>
      <c r="BP329" s="254">
        <v>381.41641390000001</v>
      </c>
      <c r="BQ329" s="254">
        <v>653.84647290000009</v>
      </c>
      <c r="BR329" s="254">
        <v>60.442062</v>
      </c>
      <c r="BS329" s="254">
        <v>0</v>
      </c>
      <c r="BT329" s="254">
        <v>61.515947199999999</v>
      </c>
      <c r="BU329" s="254">
        <v>0</v>
      </c>
      <c r="BV329" s="254">
        <v>0</v>
      </c>
      <c r="BW329" s="254">
        <v>0</v>
      </c>
      <c r="BX329" s="254">
        <v>0</v>
      </c>
      <c r="BY329" s="255">
        <v>0</v>
      </c>
      <c r="BZ329" s="236" t="s">
        <v>109</v>
      </c>
      <c r="CA329" s="236" t="s">
        <v>109</v>
      </c>
      <c r="CB329" s="246">
        <v>2024</v>
      </c>
      <c r="CC329" s="254">
        <v>0</v>
      </c>
      <c r="CD329" s="254">
        <v>0</v>
      </c>
      <c r="CE329" s="254">
        <v>0</v>
      </c>
      <c r="CF329" s="254">
        <v>0</v>
      </c>
      <c r="CG329" s="254">
        <v>1095.7049487999998</v>
      </c>
      <c r="CH329" s="254">
        <v>0</v>
      </c>
      <c r="CI329" s="254">
        <v>61.515947199999999</v>
      </c>
      <c r="CJ329" s="237">
        <v>0</v>
      </c>
      <c r="CK329" s="177" t="s">
        <v>128</v>
      </c>
      <c r="CL329" s="177" t="s">
        <v>128</v>
      </c>
      <c r="CM329" s="155" t="s">
        <v>109</v>
      </c>
      <c r="CN329" s="229">
        <v>0</v>
      </c>
      <c r="CO329" s="229">
        <v>0</v>
      </c>
      <c r="CP329" t="s">
        <v>2323</v>
      </c>
      <c r="CR329" s="248"/>
    </row>
    <row r="330" spans="1:96" ht="14.4" x14ac:dyDescent="0.3">
      <c r="A330">
        <v>327</v>
      </c>
      <c r="B330" s="173" t="s">
        <v>2324</v>
      </c>
      <c r="C330" s="259"/>
      <c r="D330" s="260"/>
      <c r="E330" t="s">
        <v>109</v>
      </c>
      <c r="F330" t="s">
        <v>2325</v>
      </c>
      <c r="G330" s="177" t="s">
        <v>111</v>
      </c>
      <c r="H330" s="177" t="s">
        <v>113</v>
      </c>
      <c r="I330" s="177" t="s">
        <v>109</v>
      </c>
      <c r="J330" s="177" t="s">
        <v>109</v>
      </c>
      <c r="K330" s="177" t="s">
        <v>662</v>
      </c>
      <c r="L330" s="177" t="s">
        <v>235</v>
      </c>
      <c r="M330" s="177" t="s">
        <v>109</v>
      </c>
      <c r="N330" s="177" t="s">
        <v>109</v>
      </c>
      <c r="O330" s="180" t="s">
        <v>109</v>
      </c>
      <c r="P330" s="177" t="s">
        <v>109</v>
      </c>
      <c r="Q330" s="177" t="s">
        <v>109</v>
      </c>
      <c r="R330" s="177" t="s">
        <v>109</v>
      </c>
      <c r="S330" s="177" t="s">
        <v>109</v>
      </c>
      <c r="T330" s="177" t="s">
        <v>285</v>
      </c>
      <c r="U330" s="177" t="s">
        <v>918</v>
      </c>
      <c r="V330" s="177" t="b">
        <v>0</v>
      </c>
      <c r="W330" s="177" t="s">
        <v>109</v>
      </c>
      <c r="X330" s="261"/>
      <c r="Y330" s="177" t="s">
        <v>118</v>
      </c>
      <c r="Z330" s="177" t="s">
        <v>118</v>
      </c>
      <c r="AA330" s="177" t="s">
        <v>109</v>
      </c>
      <c r="AB330" s="177" t="s">
        <v>109</v>
      </c>
      <c r="AC330" s="177">
        <v>1.2</v>
      </c>
      <c r="AD330" s="177" t="s">
        <v>119</v>
      </c>
      <c r="AE330" s="177" t="s">
        <v>2326</v>
      </c>
      <c r="AF330" s="177">
        <v>2</v>
      </c>
      <c r="AG330" s="177">
        <v>22256</v>
      </c>
      <c r="AH330" s="177" t="s">
        <v>121</v>
      </c>
      <c r="AI330" s="177" t="b">
        <v>1</v>
      </c>
      <c r="AJ330" s="180">
        <v>45637</v>
      </c>
      <c r="AK330" s="177" t="s">
        <v>122</v>
      </c>
      <c r="AL330" s="177" t="s">
        <v>109</v>
      </c>
      <c r="AM330" s="177" t="s">
        <v>109</v>
      </c>
      <c r="AN330" s="177" t="b">
        <v>0</v>
      </c>
      <c r="AO330" s="177" t="s">
        <v>109</v>
      </c>
      <c r="AP330" s="177" t="s">
        <v>109</v>
      </c>
      <c r="AQ330" s="177" t="s">
        <v>118</v>
      </c>
      <c r="AR330" s="177" t="b">
        <v>0</v>
      </c>
      <c r="AS330" s="177" t="s">
        <v>123</v>
      </c>
      <c r="AT330" s="180" t="s">
        <v>123</v>
      </c>
      <c r="AU330" s="177" t="s">
        <v>109</v>
      </c>
      <c r="AV330" s="177" t="s">
        <v>109</v>
      </c>
      <c r="AW330" s="177" t="s">
        <v>118</v>
      </c>
      <c r="AX330" s="177" t="s">
        <v>118</v>
      </c>
      <c r="AY330" s="177" t="s">
        <v>135</v>
      </c>
      <c r="AZ330" s="177" t="s">
        <v>109</v>
      </c>
      <c r="BA330" s="177" t="s">
        <v>218</v>
      </c>
      <c r="BB330" s="177" t="s">
        <v>109</v>
      </c>
      <c r="BC330" s="177" t="s">
        <v>126</v>
      </c>
      <c r="BD330" s="177" t="s">
        <v>109</v>
      </c>
      <c r="BE330" s="180" t="s">
        <v>109</v>
      </c>
      <c r="BF330" s="180" t="s">
        <v>127</v>
      </c>
      <c r="BG330" s="180" t="s">
        <v>119</v>
      </c>
      <c r="BH330" s="177" t="s">
        <v>109</v>
      </c>
      <c r="BI330" s="177" t="s">
        <v>109</v>
      </c>
      <c r="BJ330" s="177" t="b">
        <v>0</v>
      </c>
      <c r="BK330" s="233" t="s">
        <v>118</v>
      </c>
      <c r="BL330" s="234" t="s">
        <v>128</v>
      </c>
      <c r="BM330" s="233">
        <f>4201.53869041279-BM331</f>
        <v>4007.4186904127901</v>
      </c>
      <c r="BN330" s="235">
        <f>0-BN331</f>
        <v>0</v>
      </c>
      <c r="BO330" s="235">
        <f>0-BO331</f>
        <v>0</v>
      </c>
      <c r="BP330" s="235">
        <f>1224.6786704-BP331</f>
        <v>1224.6786704000001</v>
      </c>
      <c r="BQ330" s="235">
        <f>1043.8824349-BQ331</f>
        <v>1043.8824348999999</v>
      </c>
      <c r="BR330" s="235">
        <f>485.3576152-BR331</f>
        <v>291.24472400000002</v>
      </c>
      <c r="BS330" s="235">
        <f>51.841052-BS331</f>
        <v>51.833942</v>
      </c>
      <c r="BT330" s="235">
        <f>804.0810803-BT331</f>
        <v>804.08108030000005</v>
      </c>
      <c r="BU330" s="235">
        <f>591.6978376-BU331</f>
        <v>591.69783759999996</v>
      </c>
      <c r="BV330" s="235">
        <f>0-BV331</f>
        <v>0</v>
      </c>
      <c r="BW330" s="235">
        <f>0-BW331</f>
        <v>0</v>
      </c>
      <c r="BX330" s="235">
        <f>0-BX331</f>
        <v>0</v>
      </c>
      <c r="BY330" s="234">
        <v>0</v>
      </c>
      <c r="BZ330" s="236" t="s">
        <v>109</v>
      </c>
      <c r="CA330" s="236" t="s">
        <v>109</v>
      </c>
      <c r="CB330" s="236">
        <v>2024</v>
      </c>
      <c r="CC330" s="235">
        <f>0-CC331</f>
        <v>0</v>
      </c>
      <c r="CD330" s="235">
        <f>0-CD331</f>
        <v>0</v>
      </c>
      <c r="CE330" s="235">
        <f>0-CE331</f>
        <v>0</v>
      </c>
      <c r="CF330" s="235">
        <f>0-CF331</f>
        <v>0</v>
      </c>
      <c r="CG330" s="235">
        <f>194.1128912-CG331</f>
        <v>0</v>
      </c>
      <c r="CH330" s="235">
        <f>0-CH331</f>
        <v>0</v>
      </c>
      <c r="CI330" s="235">
        <f>0-CI331</f>
        <v>0</v>
      </c>
      <c r="CJ330" s="237">
        <v>0</v>
      </c>
      <c r="CK330" s="177" t="s">
        <v>128</v>
      </c>
      <c r="CL330" s="177">
        <v>7.3</v>
      </c>
      <c r="CM330" s="155" t="s">
        <v>109</v>
      </c>
      <c r="CN330" s="229">
        <v>0</v>
      </c>
      <c r="CO330" s="229">
        <v>0</v>
      </c>
      <c r="CP330" t="s">
        <v>480</v>
      </c>
      <c r="CR330" s="248"/>
    </row>
    <row r="331" spans="1:96" ht="14.4" x14ac:dyDescent="0.3">
      <c r="A331">
        <v>328</v>
      </c>
      <c r="B331" s="173" t="s">
        <v>2327</v>
      </c>
      <c r="C331" s="259"/>
      <c r="D331" s="260"/>
      <c r="E331" t="s">
        <v>191</v>
      </c>
      <c r="F331" t="s">
        <v>2328</v>
      </c>
      <c r="G331" s="177" t="s">
        <v>274</v>
      </c>
      <c r="H331" s="177" t="s">
        <v>113</v>
      </c>
      <c r="I331" s="177" t="s">
        <v>109</v>
      </c>
      <c r="J331" s="177" t="s">
        <v>109</v>
      </c>
      <c r="K331" s="177" t="s">
        <v>662</v>
      </c>
      <c r="L331" s="177" t="s">
        <v>235</v>
      </c>
      <c r="M331" s="177" t="s">
        <v>109</v>
      </c>
      <c r="N331" s="177" t="s">
        <v>109</v>
      </c>
      <c r="O331" s="180" t="s">
        <v>109</v>
      </c>
      <c r="P331" s="177" t="s">
        <v>109</v>
      </c>
      <c r="Q331" s="177" t="s">
        <v>109</v>
      </c>
      <c r="R331" s="177" t="s">
        <v>109</v>
      </c>
      <c r="S331" s="177" t="s">
        <v>109</v>
      </c>
      <c r="T331" s="177" t="s">
        <v>285</v>
      </c>
      <c r="U331" s="177" t="s">
        <v>918</v>
      </c>
      <c r="V331" s="177" t="b">
        <v>0</v>
      </c>
      <c r="W331" s="177" t="s">
        <v>109</v>
      </c>
      <c r="X331" s="261"/>
      <c r="Y331" s="177" t="s">
        <v>109</v>
      </c>
      <c r="Z331" s="177" t="s">
        <v>109</v>
      </c>
      <c r="AA331" s="177" t="s">
        <v>109</v>
      </c>
      <c r="AB331" s="177" t="s">
        <v>109</v>
      </c>
      <c r="AC331" s="177">
        <v>1.2</v>
      </c>
      <c r="AD331" s="177" t="s">
        <v>109</v>
      </c>
      <c r="AE331" s="177" t="s">
        <v>2326</v>
      </c>
      <c r="AF331" s="177">
        <v>1</v>
      </c>
      <c r="AG331" s="177">
        <v>22256</v>
      </c>
      <c r="AH331" s="177" t="s">
        <v>121</v>
      </c>
      <c r="AI331" s="177" t="b">
        <v>1</v>
      </c>
      <c r="AJ331" s="180">
        <v>44865</v>
      </c>
      <c r="AK331" s="177" t="s">
        <v>122</v>
      </c>
      <c r="AL331" s="177" t="s">
        <v>109</v>
      </c>
      <c r="AM331" s="177" t="s">
        <v>109</v>
      </c>
      <c r="AN331" s="177" t="b">
        <v>0</v>
      </c>
      <c r="AO331" s="177" t="s">
        <v>109</v>
      </c>
      <c r="AP331" s="177" t="s">
        <v>109</v>
      </c>
      <c r="AQ331" s="177" t="s">
        <v>109</v>
      </c>
      <c r="AR331" s="177" t="b">
        <v>0</v>
      </c>
      <c r="AS331" s="177" t="s">
        <v>123</v>
      </c>
      <c r="AT331" s="180" t="s">
        <v>123</v>
      </c>
      <c r="AU331" s="177" t="s">
        <v>109</v>
      </c>
      <c r="AV331" s="177" t="s">
        <v>109</v>
      </c>
      <c r="AW331" s="177" t="s">
        <v>118</v>
      </c>
      <c r="AX331" s="177" t="s">
        <v>118</v>
      </c>
      <c r="AY331" s="177" t="s">
        <v>135</v>
      </c>
      <c r="AZ331" s="177" t="s">
        <v>109</v>
      </c>
      <c r="BA331" s="177" t="s">
        <v>218</v>
      </c>
      <c r="BB331" s="177" t="s">
        <v>109</v>
      </c>
      <c r="BC331" s="177" t="s">
        <v>126</v>
      </c>
      <c r="BD331" s="177" t="s">
        <v>109</v>
      </c>
      <c r="BE331" s="180" t="s">
        <v>109</v>
      </c>
      <c r="BF331" s="180" t="s">
        <v>891</v>
      </c>
      <c r="BG331" s="180" t="s">
        <v>2329</v>
      </c>
      <c r="BH331" s="177" t="s">
        <v>109</v>
      </c>
      <c r="BI331" s="177" t="s">
        <v>109</v>
      </c>
      <c r="BJ331" s="177" t="b">
        <v>0</v>
      </c>
      <c r="BK331" s="233">
        <v>26582.4918</v>
      </c>
      <c r="BL331" s="234" t="s">
        <v>128</v>
      </c>
      <c r="BM331" s="254">
        <v>194.12</v>
      </c>
      <c r="BN331" s="254">
        <v>0</v>
      </c>
      <c r="BO331" s="254">
        <v>0</v>
      </c>
      <c r="BP331" s="254">
        <v>0</v>
      </c>
      <c r="BQ331" s="254">
        <v>0</v>
      </c>
      <c r="BR331" s="254">
        <v>194.11289120000001</v>
      </c>
      <c r="BS331" s="254">
        <v>7.1099999999999991E-3</v>
      </c>
      <c r="BT331" s="254">
        <v>0</v>
      </c>
      <c r="BU331" s="254">
        <v>0</v>
      </c>
      <c r="BV331" s="254">
        <v>0</v>
      </c>
      <c r="BW331" s="254">
        <v>0</v>
      </c>
      <c r="BX331" s="254">
        <v>0</v>
      </c>
      <c r="BY331" s="255">
        <v>0</v>
      </c>
      <c r="BZ331" s="236" t="s">
        <v>109</v>
      </c>
      <c r="CA331" s="236" t="s">
        <v>109</v>
      </c>
      <c r="CB331" s="258">
        <v>2024</v>
      </c>
      <c r="CC331" s="254">
        <v>0</v>
      </c>
      <c r="CD331" s="254">
        <v>0</v>
      </c>
      <c r="CE331" s="254">
        <v>0</v>
      </c>
      <c r="CF331" s="254">
        <v>0</v>
      </c>
      <c r="CG331" s="254">
        <v>194.11289120000001</v>
      </c>
      <c r="CH331" s="254">
        <v>0</v>
      </c>
      <c r="CI331" s="254">
        <v>0</v>
      </c>
      <c r="CJ331" s="237">
        <v>0</v>
      </c>
      <c r="CK331" s="177" t="s">
        <v>128</v>
      </c>
      <c r="CL331" s="177" t="s">
        <v>128</v>
      </c>
      <c r="CM331" s="155" t="s">
        <v>109</v>
      </c>
      <c r="CN331" s="229">
        <v>0</v>
      </c>
      <c r="CO331" s="229">
        <v>0</v>
      </c>
      <c r="CP331" t="s">
        <v>480</v>
      </c>
      <c r="CR331" s="248"/>
    </row>
    <row r="332" spans="1:96" ht="14.4" x14ac:dyDescent="0.3">
      <c r="A332">
        <v>329</v>
      </c>
      <c r="B332" s="173" t="s">
        <v>2330</v>
      </c>
      <c r="C332" s="259"/>
      <c r="D332" s="260"/>
      <c r="E332" t="s">
        <v>191</v>
      </c>
      <c r="F332" t="s">
        <v>2331</v>
      </c>
      <c r="G332" s="177" t="s">
        <v>111</v>
      </c>
      <c r="H332" s="177" t="s">
        <v>113</v>
      </c>
      <c r="I332" s="177" t="s">
        <v>109</v>
      </c>
      <c r="J332" s="177" t="s">
        <v>109</v>
      </c>
      <c r="K332" s="177" t="s">
        <v>114</v>
      </c>
      <c r="L332" s="177" t="s">
        <v>251</v>
      </c>
      <c r="M332" s="177" t="s">
        <v>109</v>
      </c>
      <c r="N332" s="177" t="s">
        <v>109</v>
      </c>
      <c r="O332" s="180">
        <v>45777</v>
      </c>
      <c r="P332" s="177" t="s">
        <v>2332</v>
      </c>
      <c r="Q332" s="177" t="s">
        <v>109</v>
      </c>
      <c r="R332" s="177" t="s">
        <v>725</v>
      </c>
      <c r="S332" s="177" t="s">
        <v>109</v>
      </c>
      <c r="T332" s="177" t="s">
        <v>116</v>
      </c>
      <c r="U332" s="177" t="s">
        <v>117</v>
      </c>
      <c r="V332" s="177" t="b">
        <v>0</v>
      </c>
      <c r="W332" s="177" t="s">
        <v>109</v>
      </c>
      <c r="X332" s="261"/>
      <c r="Y332" s="177" t="s">
        <v>118</v>
      </c>
      <c r="Z332" s="176">
        <v>0.52600000000000002</v>
      </c>
      <c r="AA332" s="177">
        <v>69</v>
      </c>
      <c r="AB332" s="177" t="s">
        <v>373</v>
      </c>
      <c r="AC332" s="177">
        <v>4.0999999999999996</v>
      </c>
      <c r="AD332" s="177" t="s">
        <v>109</v>
      </c>
      <c r="AE332" s="177" t="s">
        <v>2333</v>
      </c>
      <c r="AF332" s="177">
        <v>1</v>
      </c>
      <c r="AG332" s="177">
        <v>23126</v>
      </c>
      <c r="AH332" s="177" t="s">
        <v>121</v>
      </c>
      <c r="AI332" s="177" t="b">
        <v>1</v>
      </c>
      <c r="AJ332" s="180">
        <v>45259</v>
      </c>
      <c r="AK332" s="177" t="s">
        <v>122</v>
      </c>
      <c r="AL332" s="177">
        <v>2023</v>
      </c>
      <c r="AM332" s="177" t="s">
        <v>109</v>
      </c>
      <c r="AN332" s="177" t="b">
        <v>0</v>
      </c>
      <c r="AO332" s="177" t="s">
        <v>109</v>
      </c>
      <c r="AP332" s="177" t="s">
        <v>109</v>
      </c>
      <c r="AQ332" s="177" t="s">
        <v>118</v>
      </c>
      <c r="AR332" s="177" t="b">
        <v>0</v>
      </c>
      <c r="AS332" s="177" t="s">
        <v>123</v>
      </c>
      <c r="AT332" s="180" t="s">
        <v>123</v>
      </c>
      <c r="AU332" s="177" t="s">
        <v>124</v>
      </c>
      <c r="AV332" s="177" t="s">
        <v>109</v>
      </c>
      <c r="AW332" s="177" t="s">
        <v>118</v>
      </c>
      <c r="AX332" s="177" t="s">
        <v>118</v>
      </c>
      <c r="AY332" s="177" t="s">
        <v>135</v>
      </c>
      <c r="AZ332" s="177" t="s">
        <v>109</v>
      </c>
      <c r="BA332" s="177" t="s">
        <v>125</v>
      </c>
      <c r="BB332" s="177" t="s">
        <v>109</v>
      </c>
      <c r="BC332" s="177" t="s">
        <v>397</v>
      </c>
      <c r="BD332" s="177" t="s">
        <v>109</v>
      </c>
      <c r="BE332" s="180" t="s">
        <v>1662</v>
      </c>
      <c r="BF332" s="180" t="s">
        <v>891</v>
      </c>
      <c r="BG332" s="180" t="s">
        <v>109</v>
      </c>
      <c r="BH332" s="177" t="s">
        <v>109</v>
      </c>
      <c r="BI332" s="177" t="s">
        <v>109</v>
      </c>
      <c r="BJ332" s="177" t="b">
        <v>0</v>
      </c>
      <c r="BK332" s="233">
        <v>3962</v>
      </c>
      <c r="BL332" s="234" t="s">
        <v>128</v>
      </c>
      <c r="BM332" s="233">
        <v>9074.6510141289291</v>
      </c>
      <c r="BN332" s="233">
        <v>0</v>
      </c>
      <c r="BO332" s="233">
        <v>0</v>
      </c>
      <c r="BP332" s="233">
        <v>0</v>
      </c>
      <c r="BQ332" s="233">
        <v>4.6625759000000002</v>
      </c>
      <c r="BR332" s="233">
        <v>134.86051800000001</v>
      </c>
      <c r="BS332" s="233">
        <v>8.2606719999999996</v>
      </c>
      <c r="BT332" s="233">
        <v>10.094372399999999</v>
      </c>
      <c r="BU332" s="233">
        <v>14.5433018</v>
      </c>
      <c r="BV332" s="233">
        <v>2698.5951433999999</v>
      </c>
      <c r="BW332" s="233">
        <v>6203.6344306000001</v>
      </c>
      <c r="BX332" s="233">
        <v>0</v>
      </c>
      <c r="BY332" s="234">
        <v>148</v>
      </c>
      <c r="BZ332" s="236" t="s">
        <v>109</v>
      </c>
      <c r="CA332" s="236" t="s">
        <v>109</v>
      </c>
      <c r="CB332" s="236" t="s">
        <v>109</v>
      </c>
      <c r="CC332" s="233">
        <v>0</v>
      </c>
      <c r="CD332" s="233">
        <v>0</v>
      </c>
      <c r="CE332" s="233">
        <v>0</v>
      </c>
      <c r="CF332" s="233">
        <v>0</v>
      </c>
      <c r="CG332" s="233">
        <v>0</v>
      </c>
      <c r="CH332" s="233">
        <v>0</v>
      </c>
      <c r="CI332" s="233">
        <v>0</v>
      </c>
      <c r="CJ332" s="237">
        <v>0</v>
      </c>
      <c r="CK332" s="177" t="s">
        <v>128</v>
      </c>
      <c r="CL332" s="177">
        <v>38.1</v>
      </c>
      <c r="CM332" s="155" t="s">
        <v>109</v>
      </c>
      <c r="CN332" s="229">
        <v>0</v>
      </c>
      <c r="CO332" s="229">
        <v>1</v>
      </c>
      <c r="CP332" t="s">
        <v>155</v>
      </c>
      <c r="CR332" s="248"/>
    </row>
    <row r="333" spans="1:96" ht="14.4" x14ac:dyDescent="0.3">
      <c r="A333">
        <v>330</v>
      </c>
      <c r="B333" s="249" t="s">
        <v>2334</v>
      </c>
      <c r="C333" s="259"/>
      <c r="D333" s="260"/>
      <c r="E333" s="251" t="s">
        <v>191</v>
      </c>
      <c r="F333" s="252" t="s">
        <v>2335</v>
      </c>
      <c r="G333" s="250" t="s">
        <v>503</v>
      </c>
      <c r="H333" s="177" t="s">
        <v>112</v>
      </c>
      <c r="I333" s="177" t="s">
        <v>109</v>
      </c>
      <c r="J333" s="177" t="s">
        <v>109</v>
      </c>
      <c r="K333" s="250" t="s">
        <v>192</v>
      </c>
      <c r="L333" s="250" t="s">
        <v>663</v>
      </c>
      <c r="M333" s="250" t="s">
        <v>706</v>
      </c>
      <c r="N333" s="250" t="s">
        <v>109</v>
      </c>
      <c r="O333" s="180">
        <v>45786</v>
      </c>
      <c r="P333" s="177" t="s">
        <v>109</v>
      </c>
      <c r="Q333" s="177" t="s">
        <v>109</v>
      </c>
      <c r="R333" s="177" t="s">
        <v>109</v>
      </c>
      <c r="S333" s="177" t="s">
        <v>109</v>
      </c>
      <c r="T333" s="250" t="s">
        <v>404</v>
      </c>
      <c r="U333" s="177" t="s">
        <v>117</v>
      </c>
      <c r="V333" s="177" t="b">
        <v>0</v>
      </c>
      <c r="W333" s="177" t="s">
        <v>109</v>
      </c>
      <c r="X333" s="261"/>
      <c r="Y333" s="177" t="s">
        <v>109</v>
      </c>
      <c r="Z333" s="176">
        <v>55.48</v>
      </c>
      <c r="AA333" s="177" t="s">
        <v>1064</v>
      </c>
      <c r="AB333" s="177" t="s">
        <v>1075</v>
      </c>
      <c r="AC333" s="177">
        <v>2.1</v>
      </c>
      <c r="AD333" s="177" t="s">
        <v>1110</v>
      </c>
      <c r="AE333" s="177" t="s">
        <v>1076</v>
      </c>
      <c r="AF333" s="177">
        <v>1</v>
      </c>
      <c r="AG333" s="177">
        <v>23127</v>
      </c>
      <c r="AH333" s="177" t="s">
        <v>121</v>
      </c>
      <c r="AI333" s="177" t="b">
        <v>1</v>
      </c>
      <c r="AJ333" s="180">
        <v>41691</v>
      </c>
      <c r="AK333" s="177" t="s">
        <v>122</v>
      </c>
      <c r="AL333" s="177" t="s">
        <v>109</v>
      </c>
      <c r="AM333" s="250">
        <v>2025</v>
      </c>
      <c r="AN333" s="179" t="b">
        <v>0</v>
      </c>
      <c r="AO333" s="250" t="s">
        <v>1209</v>
      </c>
      <c r="AP333" s="250">
        <v>2023</v>
      </c>
      <c r="AQ333" s="250" t="s">
        <v>2336</v>
      </c>
      <c r="AR333" s="177" t="b">
        <v>0</v>
      </c>
      <c r="AS333" s="250" t="s">
        <v>123</v>
      </c>
      <c r="AT333" s="180" t="s">
        <v>118</v>
      </c>
      <c r="AU333" s="250" t="s">
        <v>515</v>
      </c>
      <c r="AV333" s="177" t="s">
        <v>109</v>
      </c>
      <c r="AW333" s="250" t="s">
        <v>226</v>
      </c>
      <c r="AX333" s="177" t="s">
        <v>109</v>
      </c>
      <c r="AY333" s="250" t="s">
        <v>492</v>
      </c>
      <c r="AZ333" s="177" t="s">
        <v>109</v>
      </c>
      <c r="BA333" s="177" t="s">
        <v>125</v>
      </c>
      <c r="BB333" s="177" t="s">
        <v>109</v>
      </c>
      <c r="BC333" s="250" t="s">
        <v>546</v>
      </c>
      <c r="BD333" s="177" t="s">
        <v>109</v>
      </c>
      <c r="BE333" s="180" t="s">
        <v>123</v>
      </c>
      <c r="BF333" s="253">
        <v>48579</v>
      </c>
      <c r="BG333" s="253">
        <v>48579</v>
      </c>
      <c r="BH333" s="177" t="s">
        <v>109</v>
      </c>
      <c r="BI333" s="177" t="s">
        <v>109</v>
      </c>
      <c r="BJ333" s="177" t="b">
        <v>0</v>
      </c>
      <c r="BK333" s="233">
        <v>35000</v>
      </c>
      <c r="BL333" s="234" t="s">
        <v>128</v>
      </c>
      <c r="BM333" s="254">
        <v>581253.97499999998</v>
      </c>
      <c r="BN333" s="254">
        <v>0</v>
      </c>
      <c r="BO333" s="254">
        <v>0</v>
      </c>
      <c r="BP333" s="254">
        <v>0</v>
      </c>
      <c r="BQ333" s="254">
        <v>0.29146</v>
      </c>
      <c r="BR333" s="254">
        <v>1768.5276299999998</v>
      </c>
      <c r="BS333" s="254">
        <v>470.33380000000005</v>
      </c>
      <c r="BT333" s="254">
        <v>1613.9575245000003</v>
      </c>
      <c r="BU333" s="254">
        <v>3294.3513368000004</v>
      </c>
      <c r="BV333" s="254">
        <v>120189.87011999999</v>
      </c>
      <c r="BW333" s="254">
        <v>129581.04084860001</v>
      </c>
      <c r="BX333" s="254">
        <v>139706.1631801</v>
      </c>
      <c r="BY333" s="255">
        <v>2239.152</v>
      </c>
      <c r="BZ333" s="236" t="s">
        <v>109</v>
      </c>
      <c r="CA333" s="236" t="s">
        <v>109</v>
      </c>
      <c r="CB333" s="236" t="s">
        <v>109</v>
      </c>
      <c r="CC333" s="254">
        <v>0</v>
      </c>
      <c r="CD333" s="254">
        <v>0</v>
      </c>
      <c r="CE333" s="254">
        <v>0</v>
      </c>
      <c r="CF333" s="254">
        <v>0</v>
      </c>
      <c r="CG333" s="254">
        <v>0</v>
      </c>
      <c r="CH333" s="254">
        <v>0</v>
      </c>
      <c r="CI333" s="254">
        <v>0</v>
      </c>
      <c r="CJ333" s="237">
        <v>0</v>
      </c>
      <c r="CK333" s="177" t="s">
        <v>128</v>
      </c>
      <c r="CL333" s="177" t="s">
        <v>128</v>
      </c>
      <c r="CM333" s="155" t="s">
        <v>109</v>
      </c>
      <c r="CN333" s="229">
        <v>1</v>
      </c>
      <c r="CO333" s="229">
        <v>0</v>
      </c>
      <c r="CP333" t="s">
        <v>2337</v>
      </c>
      <c r="CR333" s="248"/>
    </row>
    <row r="334" spans="1:96" ht="14.4" x14ac:dyDescent="0.3">
      <c r="A334">
        <v>331</v>
      </c>
      <c r="B334" s="173" t="s">
        <v>2338</v>
      </c>
      <c r="C334" s="259"/>
      <c r="D334" s="260"/>
      <c r="E334" t="s">
        <v>109</v>
      </c>
      <c r="F334" t="s">
        <v>2339</v>
      </c>
      <c r="G334" s="177" t="s">
        <v>233</v>
      </c>
      <c r="H334" s="177" t="s">
        <v>109</v>
      </c>
      <c r="I334" s="177" t="s">
        <v>109</v>
      </c>
      <c r="J334" s="177" t="s">
        <v>109</v>
      </c>
      <c r="K334" s="177" t="s">
        <v>192</v>
      </c>
      <c r="L334" s="177" t="s">
        <v>959</v>
      </c>
      <c r="M334" s="177" t="s">
        <v>109</v>
      </c>
      <c r="N334" s="177" t="s">
        <v>109</v>
      </c>
      <c r="O334" s="180" t="s">
        <v>109</v>
      </c>
      <c r="P334" s="177" t="s">
        <v>109</v>
      </c>
      <c r="Q334" s="177" t="s">
        <v>109</v>
      </c>
      <c r="R334" s="177" t="s">
        <v>109</v>
      </c>
      <c r="S334" s="177" t="s">
        <v>109</v>
      </c>
      <c r="T334" s="177" t="s">
        <v>285</v>
      </c>
      <c r="U334" s="177" t="s">
        <v>117</v>
      </c>
      <c r="V334" s="177" t="b">
        <v>0</v>
      </c>
      <c r="W334" s="177" t="s">
        <v>109</v>
      </c>
      <c r="X334" s="261"/>
      <c r="Y334" s="177" t="s">
        <v>109</v>
      </c>
      <c r="Z334" s="177" t="s">
        <v>109</v>
      </c>
      <c r="AA334" s="177" t="s">
        <v>119</v>
      </c>
      <c r="AB334" s="177" t="s">
        <v>109</v>
      </c>
      <c r="AC334" s="177">
        <v>2.2000000000000002</v>
      </c>
      <c r="AD334" s="177" t="s">
        <v>119</v>
      </c>
      <c r="AE334" s="177" t="s">
        <v>2340</v>
      </c>
      <c r="AF334" s="177">
        <v>1</v>
      </c>
      <c r="AG334" s="177">
        <v>23128</v>
      </c>
      <c r="AH334" s="177" t="s">
        <v>121</v>
      </c>
      <c r="AI334" s="177" t="b">
        <v>1</v>
      </c>
      <c r="AJ334" s="180">
        <v>45275</v>
      </c>
      <c r="AK334" s="177" t="s">
        <v>122</v>
      </c>
      <c r="AL334" s="177">
        <v>2024</v>
      </c>
      <c r="AM334" s="177" t="s">
        <v>109</v>
      </c>
      <c r="AN334" s="177" t="b">
        <v>0</v>
      </c>
      <c r="AO334" s="177" t="s">
        <v>109</v>
      </c>
      <c r="AP334" s="177" t="s">
        <v>109</v>
      </c>
      <c r="AQ334" s="177" t="s">
        <v>109</v>
      </c>
      <c r="AR334" s="177" t="b">
        <v>0</v>
      </c>
      <c r="AS334" s="177" t="s">
        <v>109</v>
      </c>
      <c r="AT334" s="180" t="s">
        <v>118</v>
      </c>
      <c r="AU334" s="177" t="s">
        <v>109</v>
      </c>
      <c r="AV334" s="177" t="s">
        <v>109</v>
      </c>
      <c r="AW334" s="177" t="s">
        <v>109</v>
      </c>
      <c r="AX334" s="177" t="s">
        <v>109</v>
      </c>
      <c r="AY334" s="177" t="s">
        <v>109</v>
      </c>
      <c r="AZ334" s="177" t="s">
        <v>109</v>
      </c>
      <c r="BA334" s="177" t="s">
        <v>125</v>
      </c>
      <c r="BB334" s="177" t="s">
        <v>109</v>
      </c>
      <c r="BC334" s="177" t="s">
        <v>126</v>
      </c>
      <c r="BD334" s="177" t="s">
        <v>109</v>
      </c>
      <c r="BE334" s="180" t="s">
        <v>360</v>
      </c>
      <c r="BF334" s="180" t="s">
        <v>2341</v>
      </c>
      <c r="BG334" s="180" t="s">
        <v>2341</v>
      </c>
      <c r="BH334" s="177" t="s">
        <v>109</v>
      </c>
      <c r="BI334" s="177" t="s">
        <v>109</v>
      </c>
      <c r="BJ334" s="177" t="b">
        <v>0</v>
      </c>
      <c r="BK334" s="233">
        <v>271.31790999999998</v>
      </c>
      <c r="BL334" s="234" t="s">
        <v>128</v>
      </c>
      <c r="BM334" s="254">
        <v>1163.606</v>
      </c>
      <c r="BN334" s="254">
        <v>0</v>
      </c>
      <c r="BO334" s="254">
        <v>0</v>
      </c>
      <c r="BP334" s="254">
        <v>0</v>
      </c>
      <c r="BQ334" s="254">
        <v>0</v>
      </c>
      <c r="BR334" s="254">
        <v>60.397881999999996</v>
      </c>
      <c r="BS334" s="254">
        <v>11.199572</v>
      </c>
      <c r="BT334" s="254">
        <v>186.68966009999997</v>
      </c>
      <c r="BU334" s="254">
        <v>244.1559767</v>
      </c>
      <c r="BV334" s="254">
        <v>202.31623730000001</v>
      </c>
      <c r="BW334" s="254">
        <v>221.00813250000002</v>
      </c>
      <c r="BX334" s="254">
        <v>237.83817730000001</v>
      </c>
      <c r="BY334" s="255">
        <v>71.596999999999994</v>
      </c>
      <c r="BZ334" s="236" t="s">
        <v>109</v>
      </c>
      <c r="CA334" s="236" t="s">
        <v>109</v>
      </c>
      <c r="CB334" s="236" t="s">
        <v>109</v>
      </c>
      <c r="CC334" s="254">
        <v>0</v>
      </c>
      <c r="CD334" s="254">
        <v>0</v>
      </c>
      <c r="CE334" s="254">
        <v>0</v>
      </c>
      <c r="CF334" s="254">
        <v>0</v>
      </c>
      <c r="CG334" s="254">
        <v>0</v>
      </c>
      <c r="CH334" s="254">
        <v>0</v>
      </c>
      <c r="CI334" s="254">
        <v>0</v>
      </c>
      <c r="CJ334" s="237">
        <v>0</v>
      </c>
      <c r="CK334" s="177" t="s">
        <v>128</v>
      </c>
      <c r="CL334" s="177" t="s">
        <v>128</v>
      </c>
      <c r="CM334" s="155" t="s">
        <v>109</v>
      </c>
      <c r="CN334" s="229">
        <v>0.13550000000000001</v>
      </c>
      <c r="CO334" s="229">
        <v>0.86450000000000005</v>
      </c>
      <c r="CP334" t="s">
        <v>2342</v>
      </c>
      <c r="CR334" s="248"/>
    </row>
    <row r="335" spans="1:96" ht="72" x14ac:dyDescent="0.3">
      <c r="A335">
        <v>332</v>
      </c>
      <c r="B335" s="173" t="s">
        <v>2343</v>
      </c>
      <c r="C335" s="259"/>
      <c r="D335" s="260"/>
      <c r="E335" t="s">
        <v>109</v>
      </c>
      <c r="F335" t="s">
        <v>2344</v>
      </c>
      <c r="G335" s="177" t="s">
        <v>133</v>
      </c>
      <c r="H335" s="177" t="s">
        <v>113</v>
      </c>
      <c r="I335" s="177" t="s">
        <v>109</v>
      </c>
      <c r="J335" s="177" t="s">
        <v>109</v>
      </c>
      <c r="K335" s="177" t="s">
        <v>114</v>
      </c>
      <c r="L335" s="177" t="s">
        <v>207</v>
      </c>
      <c r="M335" s="177" t="s">
        <v>109</v>
      </c>
      <c r="N335" s="177" t="s">
        <v>109</v>
      </c>
      <c r="O335" s="180" t="s">
        <v>109</v>
      </c>
      <c r="P335" s="177" t="s">
        <v>109</v>
      </c>
      <c r="Q335" s="177" t="s">
        <v>109</v>
      </c>
      <c r="R335" s="177" t="s">
        <v>109</v>
      </c>
      <c r="S335" s="177" t="s">
        <v>109</v>
      </c>
      <c r="T335" s="177" t="s">
        <v>116</v>
      </c>
      <c r="U335" s="177" t="s">
        <v>117</v>
      </c>
      <c r="V335" s="177" t="b">
        <v>0</v>
      </c>
      <c r="W335" s="177" t="s">
        <v>109</v>
      </c>
      <c r="X335" s="261"/>
      <c r="Y335" s="177" t="s">
        <v>109</v>
      </c>
      <c r="Z335" s="177" t="s">
        <v>109</v>
      </c>
      <c r="AA335" s="177" t="s">
        <v>119</v>
      </c>
      <c r="AB335" s="177" t="s">
        <v>434</v>
      </c>
      <c r="AC335" s="177">
        <v>4.3</v>
      </c>
      <c r="AD335" s="177" t="s">
        <v>119</v>
      </c>
      <c r="AE335" s="177" t="s">
        <v>2345</v>
      </c>
      <c r="AF335" s="177">
        <v>44</v>
      </c>
      <c r="AG335" s="177">
        <v>23129</v>
      </c>
      <c r="AH335" s="177" t="s">
        <v>121</v>
      </c>
      <c r="AI335" s="177" t="b">
        <v>1</v>
      </c>
      <c r="AJ335" s="180">
        <v>45637</v>
      </c>
      <c r="AK335" s="177" t="s">
        <v>122</v>
      </c>
      <c r="AL335" s="177" t="s">
        <v>109</v>
      </c>
      <c r="AM335" s="177" t="s">
        <v>109</v>
      </c>
      <c r="AN335" s="177" t="b">
        <v>0</v>
      </c>
      <c r="AO335" s="177" t="s">
        <v>109</v>
      </c>
      <c r="AP335" s="177" t="s">
        <v>109</v>
      </c>
      <c r="AQ335" s="177" t="s">
        <v>118</v>
      </c>
      <c r="AR335" s="177" t="b">
        <v>0</v>
      </c>
      <c r="AS335" s="177" t="s">
        <v>123</v>
      </c>
      <c r="AT335" s="180" t="s">
        <v>123</v>
      </c>
      <c r="AU335" s="177" t="s">
        <v>109</v>
      </c>
      <c r="AV335" s="177" t="s">
        <v>109</v>
      </c>
      <c r="AW335" s="177" t="s">
        <v>109</v>
      </c>
      <c r="AX335" s="177" t="s">
        <v>109</v>
      </c>
      <c r="AY335" s="177" t="s">
        <v>135</v>
      </c>
      <c r="AZ335" s="177" t="s">
        <v>109</v>
      </c>
      <c r="BA335" s="177" t="s">
        <v>218</v>
      </c>
      <c r="BB335" s="177" t="s">
        <v>109</v>
      </c>
      <c r="BC335" s="177" t="s">
        <v>126</v>
      </c>
      <c r="BD335" s="177" t="s">
        <v>109</v>
      </c>
      <c r="BE335" s="180" t="s">
        <v>109</v>
      </c>
      <c r="BF335" s="180" t="s">
        <v>127</v>
      </c>
      <c r="BG335" s="180" t="s">
        <v>119</v>
      </c>
      <c r="BH335" s="177" t="s">
        <v>109</v>
      </c>
      <c r="BI335" s="177" t="s">
        <v>109</v>
      </c>
      <c r="BJ335" s="177" t="b">
        <v>1</v>
      </c>
      <c r="BK335" s="233">
        <v>3560</v>
      </c>
      <c r="BL335" s="234" t="s">
        <v>128</v>
      </c>
      <c r="BM335" s="233">
        <f>9007.20201028133-BM336</f>
        <v>7940.4044474264892</v>
      </c>
      <c r="BN335" s="235">
        <f>0-BN336</f>
        <v>0</v>
      </c>
      <c r="BO335" s="235">
        <f>0-BO336</f>
        <v>0</v>
      </c>
      <c r="BP335" s="235">
        <f>0-BP336</f>
        <v>0</v>
      </c>
      <c r="BQ335" s="235">
        <f>1.9056884-BQ336</f>
        <v>1.9056884000000001</v>
      </c>
      <c r="BR335" s="235">
        <f>1423.460056-BR336</f>
        <v>1423.2275219999999</v>
      </c>
      <c r="BS335" s="235">
        <f>566.002494-BS336</f>
        <v>522.57580599999994</v>
      </c>
      <c r="BT335" s="235">
        <f>2404.9260812-BT336</f>
        <v>2188.3232122000004</v>
      </c>
      <c r="BU335" s="235">
        <f>4029.2604901-BU336</f>
        <v>3222.7250181999998</v>
      </c>
      <c r="BV335" s="235">
        <f>162.8949519-BV336</f>
        <v>162.8949519</v>
      </c>
      <c r="BW335" s="235">
        <f>57.2773178-BW336</f>
        <v>57.277317799999999</v>
      </c>
      <c r="BX335" s="235">
        <f>58.1052262-BX336</f>
        <v>58.105226199999997</v>
      </c>
      <c r="BY335" s="234">
        <v>1026.7236800000001</v>
      </c>
      <c r="BZ335" s="236" t="s">
        <v>109</v>
      </c>
      <c r="CA335" s="236" t="s">
        <v>109</v>
      </c>
      <c r="CB335" s="236" t="s">
        <v>196</v>
      </c>
      <c r="CC335" s="235">
        <f>0-CC336</f>
        <v>0</v>
      </c>
      <c r="CD335" s="235">
        <f>0-CD336</f>
        <v>0</v>
      </c>
      <c r="CE335" s="235">
        <f>0-CE336</f>
        <v>0</v>
      </c>
      <c r="CF335" s="235">
        <f>0-CF336</f>
        <v>0</v>
      </c>
      <c r="CG335" s="235">
        <f>521.556388-CG336</f>
        <v>521.55638799999997</v>
      </c>
      <c r="CH335" s="235">
        <f>532.566152-CH336</f>
        <v>532.56615199999999</v>
      </c>
      <c r="CI335" s="235">
        <f>1475.8175394-CI336</f>
        <v>1475.8175394</v>
      </c>
      <c r="CJ335" s="237">
        <v>0</v>
      </c>
      <c r="CK335" s="177" t="s">
        <v>128</v>
      </c>
      <c r="CL335" s="177">
        <v>11.3</v>
      </c>
      <c r="CM335" s="155" t="s">
        <v>109</v>
      </c>
      <c r="CN335" s="229">
        <v>0.13550000000000001</v>
      </c>
      <c r="CO335" s="229">
        <v>0.86450000000000005</v>
      </c>
      <c r="CP335" s="138" t="s">
        <v>2346</v>
      </c>
      <c r="CR335" s="248"/>
    </row>
    <row r="336" spans="1:96" ht="14.4" x14ac:dyDescent="0.3">
      <c r="A336">
        <v>333</v>
      </c>
      <c r="B336" s="173" t="s">
        <v>2347</v>
      </c>
      <c r="C336" s="259"/>
      <c r="D336" s="260"/>
      <c r="E336" t="s">
        <v>1871</v>
      </c>
      <c r="F336" t="s">
        <v>2348</v>
      </c>
      <c r="G336" s="177" t="s">
        <v>111</v>
      </c>
      <c r="H336" s="177" t="s">
        <v>112</v>
      </c>
      <c r="I336" s="177" t="s">
        <v>112</v>
      </c>
      <c r="J336" s="177" t="s">
        <v>109</v>
      </c>
      <c r="K336" s="177" t="s">
        <v>114</v>
      </c>
      <c r="L336" s="177" t="s">
        <v>2349</v>
      </c>
      <c r="M336" s="177" t="s">
        <v>109</v>
      </c>
      <c r="N336" s="177" t="s">
        <v>109</v>
      </c>
      <c r="O336" s="180">
        <v>45762</v>
      </c>
      <c r="P336" s="177" t="s">
        <v>109</v>
      </c>
      <c r="Q336" s="177" t="s">
        <v>109</v>
      </c>
      <c r="R336" s="177" t="s">
        <v>109</v>
      </c>
      <c r="S336" s="177" t="s">
        <v>109</v>
      </c>
      <c r="T336" s="177" t="s">
        <v>116</v>
      </c>
      <c r="U336" s="177" t="s">
        <v>117</v>
      </c>
      <c r="V336" s="177" t="b">
        <v>0</v>
      </c>
      <c r="W336" s="177" t="s">
        <v>109</v>
      </c>
      <c r="X336" s="261"/>
      <c r="Y336" s="177" t="s">
        <v>118</v>
      </c>
      <c r="Z336" s="176">
        <v>1.25</v>
      </c>
      <c r="AA336" s="177" t="s">
        <v>1771</v>
      </c>
      <c r="AB336" s="177" t="s">
        <v>434</v>
      </c>
      <c r="AC336" s="177">
        <v>4.3</v>
      </c>
      <c r="AD336" s="177" t="s">
        <v>2350</v>
      </c>
      <c r="AE336" s="177" t="s">
        <v>2345</v>
      </c>
      <c r="AF336" s="177">
        <v>1</v>
      </c>
      <c r="AG336" s="177">
        <v>23129</v>
      </c>
      <c r="AH336" s="177" t="s">
        <v>121</v>
      </c>
      <c r="AI336" s="177" t="b">
        <v>1</v>
      </c>
      <c r="AJ336" s="180">
        <v>45580</v>
      </c>
      <c r="AK336" s="177" t="s">
        <v>122</v>
      </c>
      <c r="AL336" s="177">
        <v>2024</v>
      </c>
      <c r="AM336" s="177" t="s">
        <v>109</v>
      </c>
      <c r="AN336" s="179" t="b">
        <v>0</v>
      </c>
      <c r="AO336" s="177" t="s">
        <v>109</v>
      </c>
      <c r="AP336" s="177" t="s">
        <v>109</v>
      </c>
      <c r="AQ336" s="177" t="s">
        <v>109</v>
      </c>
      <c r="AR336" s="177" t="b">
        <v>0</v>
      </c>
      <c r="AS336" s="177" t="s">
        <v>123</v>
      </c>
      <c r="AT336" s="180" t="s">
        <v>109</v>
      </c>
      <c r="AU336" s="177" t="s">
        <v>124</v>
      </c>
      <c r="AV336" s="177" t="s">
        <v>109</v>
      </c>
      <c r="AW336" s="177" t="s">
        <v>195</v>
      </c>
      <c r="AX336" s="177" t="s">
        <v>109</v>
      </c>
      <c r="AY336" s="177" t="s">
        <v>135</v>
      </c>
      <c r="AZ336" s="177" t="s">
        <v>109</v>
      </c>
      <c r="BA336" s="177" t="s">
        <v>218</v>
      </c>
      <c r="BB336" s="177" t="s">
        <v>109</v>
      </c>
      <c r="BC336" s="177" t="s">
        <v>546</v>
      </c>
      <c r="BD336" s="177" t="s">
        <v>109</v>
      </c>
      <c r="BE336" s="181" t="s">
        <v>2313</v>
      </c>
      <c r="BF336" s="180" t="s">
        <v>2351</v>
      </c>
      <c r="BG336" s="180" t="s">
        <v>2351</v>
      </c>
      <c r="BH336" s="177" t="s">
        <v>109</v>
      </c>
      <c r="BI336" s="177" t="s">
        <v>109</v>
      </c>
      <c r="BJ336" s="177" t="b">
        <v>0</v>
      </c>
      <c r="BK336" s="233">
        <v>415.096</v>
      </c>
      <c r="BL336" s="234" t="s">
        <v>128</v>
      </c>
      <c r="BM336" s="236">
        <v>1066.79756285484</v>
      </c>
      <c r="BN336" s="236">
        <v>0</v>
      </c>
      <c r="BO336" s="236">
        <v>0</v>
      </c>
      <c r="BP336" s="236">
        <v>0</v>
      </c>
      <c r="BQ336" s="236">
        <v>0</v>
      </c>
      <c r="BR336" s="236">
        <v>0.23253399999999999</v>
      </c>
      <c r="BS336" s="236">
        <v>43.426687999999999</v>
      </c>
      <c r="BT336" s="236">
        <v>216.602869</v>
      </c>
      <c r="BU336" s="236">
        <v>806.53547189999995</v>
      </c>
      <c r="BV336" s="236">
        <v>0</v>
      </c>
      <c r="BW336" s="236">
        <v>0</v>
      </c>
      <c r="BX336" s="236">
        <v>0</v>
      </c>
      <c r="BY336" s="234">
        <v>44</v>
      </c>
      <c r="BZ336" s="236" t="s">
        <v>109</v>
      </c>
      <c r="CA336" s="236" t="s">
        <v>109</v>
      </c>
      <c r="CB336" s="236" t="s">
        <v>109</v>
      </c>
      <c r="CC336" s="236">
        <v>0</v>
      </c>
      <c r="CD336" s="236">
        <v>0</v>
      </c>
      <c r="CE336" s="236">
        <v>0</v>
      </c>
      <c r="CF336" s="236">
        <v>0</v>
      </c>
      <c r="CG336" s="236">
        <v>0</v>
      </c>
      <c r="CH336" s="236">
        <v>0</v>
      </c>
      <c r="CI336" s="236">
        <v>0</v>
      </c>
      <c r="CJ336" s="237">
        <v>0</v>
      </c>
      <c r="CK336" s="177" t="s">
        <v>128</v>
      </c>
      <c r="CL336" s="177" t="s">
        <v>128</v>
      </c>
      <c r="CM336" s="155" t="s">
        <v>109</v>
      </c>
      <c r="CN336" s="229">
        <v>0</v>
      </c>
      <c r="CO336" s="229">
        <v>1</v>
      </c>
      <c r="CP336" t="s">
        <v>480</v>
      </c>
      <c r="CR336" s="248"/>
    </row>
    <row r="337" spans="1:96" ht="86.4" x14ac:dyDescent="0.3">
      <c r="A337">
        <v>334</v>
      </c>
      <c r="B337" s="173" t="s">
        <v>2352</v>
      </c>
      <c r="C337" s="259"/>
      <c r="D337" s="260"/>
      <c r="E337" t="s">
        <v>109</v>
      </c>
      <c r="F337" t="s">
        <v>2353</v>
      </c>
      <c r="G337" s="177" t="s">
        <v>661</v>
      </c>
      <c r="H337" s="177" t="s">
        <v>958</v>
      </c>
      <c r="I337" s="177" t="s">
        <v>109</v>
      </c>
      <c r="J337" s="177" t="s">
        <v>109</v>
      </c>
      <c r="K337" s="177" t="s">
        <v>134</v>
      </c>
      <c r="L337" s="177" t="s">
        <v>1158</v>
      </c>
      <c r="M337" s="177" t="s">
        <v>109</v>
      </c>
      <c r="N337" s="177" t="s">
        <v>109</v>
      </c>
      <c r="O337" s="180" t="s">
        <v>109</v>
      </c>
      <c r="P337" s="177" t="s">
        <v>109</v>
      </c>
      <c r="Q337" s="177" t="s">
        <v>109</v>
      </c>
      <c r="R337" s="177" t="s">
        <v>109</v>
      </c>
      <c r="S337" s="177" t="s">
        <v>109</v>
      </c>
      <c r="T337" s="177" t="s">
        <v>116</v>
      </c>
      <c r="U337" s="177" t="s">
        <v>117</v>
      </c>
      <c r="V337" s="177" t="b">
        <v>0</v>
      </c>
      <c r="W337" s="177" t="s">
        <v>109</v>
      </c>
      <c r="X337" s="261"/>
      <c r="Y337" s="177" t="s">
        <v>109</v>
      </c>
      <c r="Z337" s="177" t="s">
        <v>109</v>
      </c>
      <c r="AA337" s="177" t="s">
        <v>109</v>
      </c>
      <c r="AB337" s="177" t="s">
        <v>109</v>
      </c>
      <c r="AC337" s="177">
        <v>3.1</v>
      </c>
      <c r="AD337" s="177" t="s">
        <v>119</v>
      </c>
      <c r="AE337" s="177" t="s">
        <v>2354</v>
      </c>
      <c r="AF337" s="177">
        <v>1</v>
      </c>
      <c r="AG337" s="177">
        <v>23130</v>
      </c>
      <c r="AH337" s="177" t="s">
        <v>121</v>
      </c>
      <c r="AI337" s="177" t="b">
        <v>1</v>
      </c>
      <c r="AJ337" s="180">
        <v>45639</v>
      </c>
      <c r="AK337" s="177" t="s">
        <v>122</v>
      </c>
      <c r="AL337" s="177" t="s">
        <v>109</v>
      </c>
      <c r="AM337" s="177" t="s">
        <v>109</v>
      </c>
      <c r="AN337" s="177" t="b">
        <v>0</v>
      </c>
      <c r="AO337" s="177" t="s">
        <v>109</v>
      </c>
      <c r="AP337" s="177" t="s">
        <v>109</v>
      </c>
      <c r="AQ337" s="177" t="s">
        <v>109</v>
      </c>
      <c r="AR337" s="177" t="b">
        <v>0</v>
      </c>
      <c r="AS337" s="177" t="s">
        <v>109</v>
      </c>
      <c r="AT337" s="180" t="s">
        <v>118</v>
      </c>
      <c r="AU337" s="177" t="s">
        <v>109</v>
      </c>
      <c r="AV337" s="177" t="s">
        <v>109</v>
      </c>
      <c r="AW337" s="177" t="s">
        <v>109</v>
      </c>
      <c r="AX337" s="177" t="s">
        <v>109</v>
      </c>
      <c r="AY337" s="177" t="s">
        <v>109</v>
      </c>
      <c r="AZ337" s="177" t="s">
        <v>109</v>
      </c>
      <c r="BA337" s="177" t="s">
        <v>218</v>
      </c>
      <c r="BB337" s="177" t="s">
        <v>109</v>
      </c>
      <c r="BC337" s="177" t="s">
        <v>126</v>
      </c>
      <c r="BD337" s="177" t="s">
        <v>109</v>
      </c>
      <c r="BE337" s="180" t="s">
        <v>109</v>
      </c>
      <c r="BF337" s="180" t="s">
        <v>127</v>
      </c>
      <c r="BG337" s="180" t="s">
        <v>119</v>
      </c>
      <c r="BH337" s="177" t="s">
        <v>109</v>
      </c>
      <c r="BI337" s="177" t="s">
        <v>109</v>
      </c>
      <c r="BJ337" s="177" t="b">
        <v>1</v>
      </c>
      <c r="BK337" s="233" t="s">
        <v>118</v>
      </c>
      <c r="BL337" s="234" t="s">
        <v>128</v>
      </c>
      <c r="BM337" s="233">
        <f>5583.48525062466-SUM(BM338:BM340)</f>
        <v>311.93104000000039</v>
      </c>
      <c r="BN337" s="235">
        <f>0-SUM(BN338:BN340)</f>
        <v>0</v>
      </c>
      <c r="BO337" s="235">
        <f>106.33055-SUM(BO338:BO340)</f>
        <v>32.005830000000003</v>
      </c>
      <c r="BP337" s="235">
        <f>523.55093-SUM(BP338:BP340)</f>
        <v>126.74282000000005</v>
      </c>
      <c r="BQ337" s="235">
        <f>852.48932-SUM(BQ338:BQ340)</f>
        <v>105.87702999999999</v>
      </c>
      <c r="BR337" s="235">
        <f>1212.4193-SUM(BR338:BR340)</f>
        <v>37.474540000000161</v>
      </c>
      <c r="BS337" s="235">
        <f>294.55663-SUM(BS338:BS340)</f>
        <v>9.8308199999999601</v>
      </c>
      <c r="BT337" s="235">
        <f>1095.2618067-SUM(BT338:BT340)</f>
        <v>0</v>
      </c>
      <c r="BU337" s="235">
        <f>1498.8767139-SUM(BU338:BU340)</f>
        <v>0</v>
      </c>
      <c r="BV337" s="235">
        <f>0-SUM(BV338:BV340)</f>
        <v>0</v>
      </c>
      <c r="BW337" s="235">
        <f>0-SUM(BW338:BW340)</f>
        <v>0</v>
      </c>
      <c r="BX337" s="235">
        <f>0-SUM(BX338:BX340)</f>
        <v>0</v>
      </c>
      <c r="BY337" s="234">
        <v>0</v>
      </c>
      <c r="BZ337" s="236" t="s">
        <v>109</v>
      </c>
      <c r="CA337" s="236" t="s">
        <v>109</v>
      </c>
      <c r="CB337" s="236">
        <v>2025</v>
      </c>
      <c r="CC337" s="235">
        <f>0-SUM(CC338:CC340)</f>
        <v>0</v>
      </c>
      <c r="CD337" s="235">
        <f>0-SUM(CD338:CD340)</f>
        <v>0</v>
      </c>
      <c r="CE337" s="235">
        <f>0-SUM(CE338:CE340)</f>
        <v>0</v>
      </c>
      <c r="CF337" s="235">
        <f>0-SUM(CF338:CF340)</f>
        <v>0</v>
      </c>
      <c r="CG337" s="235">
        <f>0-SUM(CG338:CG340)</f>
        <v>0</v>
      </c>
      <c r="CH337" s="235">
        <f>1691.56958-SUM(CH338:CH340)</f>
        <v>311.93104000000017</v>
      </c>
      <c r="CI337" s="235">
        <f>2393.0389567-SUM(CI338:CI340)</f>
        <v>0</v>
      </c>
      <c r="CJ337" s="237">
        <v>0</v>
      </c>
      <c r="CK337" s="177" t="s">
        <v>128</v>
      </c>
      <c r="CL337" s="177">
        <v>3.6</v>
      </c>
      <c r="CM337" s="155" t="s">
        <v>109</v>
      </c>
      <c r="CN337" s="229">
        <v>0</v>
      </c>
      <c r="CO337" s="229">
        <v>0</v>
      </c>
      <c r="CP337" s="138" t="s">
        <v>2355</v>
      </c>
      <c r="CR337" s="248"/>
    </row>
    <row r="338" spans="1:96" ht="14.4" x14ac:dyDescent="0.3">
      <c r="A338">
        <v>335</v>
      </c>
      <c r="B338" s="173" t="s">
        <v>2356</v>
      </c>
      <c r="C338" s="259"/>
      <c r="D338" s="260"/>
      <c r="E338" t="s">
        <v>329</v>
      </c>
      <c r="F338" t="s">
        <v>2357</v>
      </c>
      <c r="G338" s="177" t="s">
        <v>661</v>
      </c>
      <c r="H338" s="177" t="s">
        <v>112</v>
      </c>
      <c r="I338" s="177" t="s">
        <v>112</v>
      </c>
      <c r="J338" s="177" t="s">
        <v>109</v>
      </c>
      <c r="K338" s="177" t="s">
        <v>192</v>
      </c>
      <c r="L338" s="177" t="s">
        <v>193</v>
      </c>
      <c r="M338" s="177" t="s">
        <v>194</v>
      </c>
      <c r="N338" s="177" t="s">
        <v>194</v>
      </c>
      <c r="O338" s="180">
        <v>45699</v>
      </c>
      <c r="P338" s="177" t="s">
        <v>109</v>
      </c>
      <c r="Q338" s="177" t="s">
        <v>109</v>
      </c>
      <c r="R338" s="177" t="s">
        <v>109</v>
      </c>
      <c r="S338" s="177" t="s">
        <v>109</v>
      </c>
      <c r="T338" s="177" t="s">
        <v>116</v>
      </c>
      <c r="U338" s="177" t="s">
        <v>117</v>
      </c>
      <c r="V338" s="177" t="b">
        <v>0</v>
      </c>
      <c r="W338" s="177" t="s">
        <v>109</v>
      </c>
      <c r="X338" s="261"/>
      <c r="Y338" s="177">
        <v>0.44</v>
      </c>
      <c r="Z338" s="177" t="s">
        <v>118</v>
      </c>
      <c r="AA338" s="177" t="s">
        <v>215</v>
      </c>
      <c r="AB338" s="177" t="s">
        <v>109</v>
      </c>
      <c r="AC338" s="177">
        <v>3.1</v>
      </c>
      <c r="AD338" s="177" t="s">
        <v>109</v>
      </c>
      <c r="AE338" s="177" t="s">
        <v>2354</v>
      </c>
      <c r="AF338" s="177">
        <v>1</v>
      </c>
      <c r="AG338" s="177">
        <v>23130</v>
      </c>
      <c r="AH338" s="177" t="s">
        <v>121</v>
      </c>
      <c r="AI338" s="177" t="b">
        <v>1</v>
      </c>
      <c r="AJ338" s="180">
        <v>44774</v>
      </c>
      <c r="AK338" s="177" t="s">
        <v>122</v>
      </c>
      <c r="AL338" s="177">
        <v>2021</v>
      </c>
      <c r="AM338" s="177" t="s">
        <v>109</v>
      </c>
      <c r="AN338" s="179" t="b">
        <v>0</v>
      </c>
      <c r="AO338" s="177" t="s">
        <v>109</v>
      </c>
      <c r="AP338" s="177" t="s">
        <v>109</v>
      </c>
      <c r="AQ338" s="177" t="s">
        <v>109</v>
      </c>
      <c r="AR338" s="177" t="b">
        <v>0</v>
      </c>
      <c r="AS338" s="177" t="s">
        <v>123</v>
      </c>
      <c r="AT338" s="180" t="s">
        <v>109</v>
      </c>
      <c r="AU338" s="177" t="s">
        <v>124</v>
      </c>
      <c r="AV338" s="177" t="s">
        <v>109</v>
      </c>
      <c r="AW338" s="177" t="s">
        <v>195</v>
      </c>
      <c r="AX338" s="177" t="s">
        <v>109</v>
      </c>
      <c r="AY338" s="177" t="s">
        <v>2358</v>
      </c>
      <c r="AZ338" s="180">
        <v>45671</v>
      </c>
      <c r="BA338" s="177" t="s">
        <v>494</v>
      </c>
      <c r="BB338" s="177" t="s">
        <v>2285</v>
      </c>
      <c r="BC338" s="177" t="s">
        <v>296</v>
      </c>
      <c r="BD338" s="177" t="s">
        <v>109</v>
      </c>
      <c r="BE338" s="180" t="s">
        <v>109</v>
      </c>
      <c r="BF338" s="180">
        <v>46371</v>
      </c>
      <c r="BG338" s="180" t="s">
        <v>2359</v>
      </c>
      <c r="BH338" s="177" t="s">
        <v>138</v>
      </c>
      <c r="BI338" s="177" t="s">
        <v>138</v>
      </c>
      <c r="BJ338" s="177" t="b">
        <v>1</v>
      </c>
      <c r="BK338" s="233">
        <v>4358.2610400000003</v>
      </c>
      <c r="BL338" s="234" t="s">
        <v>128</v>
      </c>
      <c r="BM338" s="236">
        <v>2200.3877419292999</v>
      </c>
      <c r="BN338" s="236">
        <v>0</v>
      </c>
      <c r="BO338" s="236">
        <v>0</v>
      </c>
      <c r="BP338" s="236">
        <v>14.95717</v>
      </c>
      <c r="BQ338" s="236">
        <v>150.94515000000001</v>
      </c>
      <c r="BR338" s="236">
        <v>251.75171</v>
      </c>
      <c r="BS338" s="236">
        <v>93.270259999999993</v>
      </c>
      <c r="BT338" s="236">
        <v>190.586738</v>
      </c>
      <c r="BU338" s="236">
        <v>1498.8767138999999</v>
      </c>
      <c r="BV338" s="236">
        <v>0</v>
      </c>
      <c r="BW338" s="236">
        <v>0</v>
      </c>
      <c r="BX338" s="236">
        <v>0</v>
      </c>
      <c r="BY338" s="234">
        <v>511</v>
      </c>
      <c r="BZ338" s="236" t="s">
        <v>109</v>
      </c>
      <c r="CA338" s="236" t="s">
        <v>109</v>
      </c>
      <c r="CB338" s="236">
        <v>2025</v>
      </c>
      <c r="CC338" s="236">
        <v>0</v>
      </c>
      <c r="CD338" s="236">
        <v>0</v>
      </c>
      <c r="CE338" s="236">
        <v>0</v>
      </c>
      <c r="CF338" s="236">
        <v>0</v>
      </c>
      <c r="CG338" s="236">
        <v>0</v>
      </c>
      <c r="CH338" s="236">
        <v>0</v>
      </c>
      <c r="CI338" s="236">
        <v>701.51102800000001</v>
      </c>
      <c r="CJ338" s="237">
        <v>0</v>
      </c>
      <c r="CK338" s="177" t="s">
        <v>128</v>
      </c>
      <c r="CL338" s="177" t="s">
        <v>128</v>
      </c>
      <c r="CM338" s="155" t="s">
        <v>109</v>
      </c>
      <c r="CN338" s="229">
        <v>0</v>
      </c>
      <c r="CO338" s="229">
        <v>1</v>
      </c>
      <c r="CP338" t="s">
        <v>2360</v>
      </c>
      <c r="CR338" s="248"/>
    </row>
    <row r="339" spans="1:96" ht="14.4" x14ac:dyDescent="0.3">
      <c r="A339">
        <v>336</v>
      </c>
      <c r="B339" s="173" t="s">
        <v>2361</v>
      </c>
      <c r="C339" s="259"/>
      <c r="D339" s="260"/>
      <c r="E339" t="s">
        <v>659</v>
      </c>
      <c r="F339" t="s">
        <v>2362</v>
      </c>
      <c r="G339" s="177" t="s">
        <v>111</v>
      </c>
      <c r="H339" s="177" t="s">
        <v>112</v>
      </c>
      <c r="I339" s="177" t="s">
        <v>146</v>
      </c>
      <c r="J339" s="177" t="s">
        <v>109</v>
      </c>
      <c r="K339" s="177" t="s">
        <v>192</v>
      </c>
      <c r="L339" s="177" t="s">
        <v>193</v>
      </c>
      <c r="M339" s="177" t="s">
        <v>194</v>
      </c>
      <c r="N339" s="177" t="s">
        <v>194</v>
      </c>
      <c r="O339" s="180">
        <v>45692</v>
      </c>
      <c r="P339" s="177" t="s">
        <v>109</v>
      </c>
      <c r="Q339" s="177" t="s">
        <v>109</v>
      </c>
      <c r="R339" s="177" t="s">
        <v>109</v>
      </c>
      <c r="S339" s="177" t="s">
        <v>109</v>
      </c>
      <c r="T339" s="177" t="s">
        <v>200</v>
      </c>
      <c r="U339" s="177" t="s">
        <v>117</v>
      </c>
      <c r="V339" s="177" t="b">
        <v>0</v>
      </c>
      <c r="W339" s="177" t="s">
        <v>109</v>
      </c>
      <c r="X339" s="261"/>
      <c r="Y339" s="177">
        <v>0.1</v>
      </c>
      <c r="Z339" s="177" t="s">
        <v>118</v>
      </c>
      <c r="AA339" s="177" t="s">
        <v>215</v>
      </c>
      <c r="AB339" s="177" t="s">
        <v>109</v>
      </c>
      <c r="AC339" s="177">
        <v>3.1</v>
      </c>
      <c r="AD339" s="177" t="s">
        <v>109</v>
      </c>
      <c r="AE339" s="177" t="s">
        <v>2354</v>
      </c>
      <c r="AF339" s="177">
        <v>1</v>
      </c>
      <c r="AG339" s="177">
        <v>23130</v>
      </c>
      <c r="AH339" s="177" t="s">
        <v>121</v>
      </c>
      <c r="AI339" s="177" t="b">
        <v>1</v>
      </c>
      <c r="AJ339" s="180">
        <v>44469</v>
      </c>
      <c r="AK339" s="177" t="s">
        <v>122</v>
      </c>
      <c r="AL339" s="177">
        <v>2021</v>
      </c>
      <c r="AM339" s="177" t="s">
        <v>109</v>
      </c>
      <c r="AN339" s="179" t="b">
        <v>0</v>
      </c>
      <c r="AO339" s="177" t="s">
        <v>109</v>
      </c>
      <c r="AP339" s="177" t="s">
        <v>109</v>
      </c>
      <c r="AQ339" s="177" t="s">
        <v>109</v>
      </c>
      <c r="AR339" s="177" t="s">
        <v>531</v>
      </c>
      <c r="AS339" s="177" t="s">
        <v>123</v>
      </c>
      <c r="AT339" s="180" t="s">
        <v>109</v>
      </c>
      <c r="AU339" s="177" t="s">
        <v>124</v>
      </c>
      <c r="AV339" s="177" t="s">
        <v>109</v>
      </c>
      <c r="AW339" s="177" t="s">
        <v>195</v>
      </c>
      <c r="AX339" s="177" t="s">
        <v>109</v>
      </c>
      <c r="AY339" s="177" t="s">
        <v>2358</v>
      </c>
      <c r="AZ339" s="180" t="s">
        <v>2363</v>
      </c>
      <c r="BA339" s="177" t="s">
        <v>494</v>
      </c>
      <c r="BB339" s="177" t="s">
        <v>2364</v>
      </c>
      <c r="BC339" s="177" t="s">
        <v>322</v>
      </c>
      <c r="BD339" s="177" t="s">
        <v>109</v>
      </c>
      <c r="BE339" s="181" t="s">
        <v>2365</v>
      </c>
      <c r="BF339" s="180" t="s">
        <v>2366</v>
      </c>
      <c r="BG339" s="180" t="s">
        <v>2367</v>
      </c>
      <c r="BH339" s="177" t="s">
        <v>699</v>
      </c>
      <c r="BI339" s="177" t="s">
        <v>109</v>
      </c>
      <c r="BJ339" s="177" t="b">
        <v>1</v>
      </c>
      <c r="BK339" s="233">
        <v>2870.55467</v>
      </c>
      <c r="BL339" s="234" t="s">
        <v>128</v>
      </c>
      <c r="BM339" s="236">
        <v>1627.3350771553601</v>
      </c>
      <c r="BN339" s="236">
        <v>0</v>
      </c>
      <c r="BO339" s="236">
        <v>59.708979999999997</v>
      </c>
      <c r="BP339" s="236">
        <v>178.42538999999999</v>
      </c>
      <c r="BQ339" s="236">
        <v>294.25078000000002</v>
      </c>
      <c r="BR339" s="236">
        <v>199.16435999999999</v>
      </c>
      <c r="BS339" s="236">
        <v>55.303350000000002</v>
      </c>
      <c r="BT339" s="236">
        <v>840.48221720000004</v>
      </c>
      <c r="BU339" s="236">
        <v>0</v>
      </c>
      <c r="BV339" s="236">
        <v>0</v>
      </c>
      <c r="BW339" s="236">
        <v>0</v>
      </c>
      <c r="BX339" s="236">
        <v>0</v>
      </c>
      <c r="BY339" s="234">
        <v>787</v>
      </c>
      <c r="BZ339" s="236" t="s">
        <v>109</v>
      </c>
      <c r="CA339" s="236" t="s">
        <v>109</v>
      </c>
      <c r="CB339" s="236">
        <v>2025</v>
      </c>
      <c r="CC339" s="236">
        <v>0</v>
      </c>
      <c r="CD339" s="236">
        <v>0</v>
      </c>
      <c r="CE339" s="236">
        <v>0</v>
      </c>
      <c r="CF339" s="236">
        <v>0</v>
      </c>
      <c r="CG339" s="236">
        <v>0</v>
      </c>
      <c r="CH339" s="236">
        <v>0</v>
      </c>
      <c r="CI339" s="236">
        <v>1627.3350771999999</v>
      </c>
      <c r="CJ339" s="177" t="s">
        <v>128</v>
      </c>
      <c r="CK339" s="177" t="s">
        <v>2368</v>
      </c>
      <c r="CL339" s="177" t="s">
        <v>128</v>
      </c>
      <c r="CM339" s="155" t="s">
        <v>109</v>
      </c>
      <c r="CN339" s="229">
        <v>0</v>
      </c>
      <c r="CO339" s="229">
        <v>1</v>
      </c>
      <c r="CP339" t="s">
        <v>202</v>
      </c>
      <c r="CR339" s="248"/>
    </row>
    <row r="340" spans="1:96" ht="43.2" x14ac:dyDescent="0.3">
      <c r="A340">
        <v>337</v>
      </c>
      <c r="B340" s="173" t="s">
        <v>2369</v>
      </c>
      <c r="C340" s="259"/>
      <c r="D340" s="260"/>
      <c r="E340" t="s">
        <v>749</v>
      </c>
      <c r="F340" t="s">
        <v>2370</v>
      </c>
      <c r="G340" s="177" t="s">
        <v>661</v>
      </c>
      <c r="H340" s="177" t="s">
        <v>112</v>
      </c>
      <c r="I340" s="177" t="s">
        <v>112</v>
      </c>
      <c r="J340" s="177" t="s">
        <v>109</v>
      </c>
      <c r="K340" s="177" t="s">
        <v>192</v>
      </c>
      <c r="L340" s="177" t="s">
        <v>193</v>
      </c>
      <c r="M340" s="177" t="s">
        <v>194</v>
      </c>
      <c r="N340" s="177" t="s">
        <v>194</v>
      </c>
      <c r="O340" s="180">
        <v>45674</v>
      </c>
      <c r="P340" s="177" t="s">
        <v>109</v>
      </c>
      <c r="Q340" s="177" t="s">
        <v>109</v>
      </c>
      <c r="R340" s="177" t="s">
        <v>109</v>
      </c>
      <c r="S340" s="177" t="s">
        <v>109</v>
      </c>
      <c r="T340" s="177" t="s">
        <v>116</v>
      </c>
      <c r="U340" s="177" t="s">
        <v>117</v>
      </c>
      <c r="V340" s="177" t="b">
        <v>0</v>
      </c>
      <c r="W340" s="177" t="s">
        <v>109</v>
      </c>
      <c r="X340" s="261"/>
      <c r="Y340" s="177">
        <v>0.3</v>
      </c>
      <c r="Z340" s="177" t="s">
        <v>118</v>
      </c>
      <c r="AA340" s="177" t="s">
        <v>215</v>
      </c>
      <c r="AB340" s="177" t="s">
        <v>109</v>
      </c>
      <c r="AC340" s="177">
        <v>3.1</v>
      </c>
      <c r="AD340" s="177" t="s">
        <v>109</v>
      </c>
      <c r="AE340" s="177" t="s">
        <v>2354</v>
      </c>
      <c r="AF340" s="177">
        <v>1</v>
      </c>
      <c r="AG340" s="177">
        <v>23130</v>
      </c>
      <c r="AH340" s="177" t="s">
        <v>121</v>
      </c>
      <c r="AI340" s="177" t="b">
        <v>1</v>
      </c>
      <c r="AJ340" s="180">
        <v>44438</v>
      </c>
      <c r="AK340" s="177" t="s">
        <v>122</v>
      </c>
      <c r="AL340" s="177">
        <v>2021</v>
      </c>
      <c r="AM340" s="177" t="s">
        <v>109</v>
      </c>
      <c r="AN340" s="179" t="b">
        <v>0</v>
      </c>
      <c r="AO340" s="177" t="s">
        <v>109</v>
      </c>
      <c r="AP340" s="177" t="s">
        <v>109</v>
      </c>
      <c r="AQ340" s="177" t="s">
        <v>109</v>
      </c>
      <c r="AR340" s="177" t="s">
        <v>531</v>
      </c>
      <c r="AS340" s="177" t="s">
        <v>123</v>
      </c>
      <c r="AT340" s="180" t="s">
        <v>109</v>
      </c>
      <c r="AU340" s="177" t="s">
        <v>124</v>
      </c>
      <c r="AV340" s="177" t="s">
        <v>109</v>
      </c>
      <c r="AW340" s="177" t="s">
        <v>195</v>
      </c>
      <c r="AX340" s="177" t="s">
        <v>109</v>
      </c>
      <c r="AY340" s="177" t="s">
        <v>109</v>
      </c>
      <c r="AZ340" s="177" t="s">
        <v>109</v>
      </c>
      <c r="BA340" s="177" t="s">
        <v>218</v>
      </c>
      <c r="BB340" s="177" t="s">
        <v>109</v>
      </c>
      <c r="BC340" s="177" t="s">
        <v>126</v>
      </c>
      <c r="BD340" s="177" t="s">
        <v>109</v>
      </c>
      <c r="BE340" s="181" t="s">
        <v>2371</v>
      </c>
      <c r="BF340" s="180" t="s">
        <v>2372</v>
      </c>
      <c r="BG340" s="180" t="s">
        <v>2373</v>
      </c>
      <c r="BH340" s="177" t="s">
        <v>699</v>
      </c>
      <c r="BI340" s="177" t="s">
        <v>138</v>
      </c>
      <c r="BJ340" s="177" t="b">
        <v>1</v>
      </c>
      <c r="BK340" s="233">
        <v>2359.0354400000001</v>
      </c>
      <c r="BL340" s="234" t="s">
        <v>128</v>
      </c>
      <c r="BM340" s="236">
        <v>1443.8313915399999</v>
      </c>
      <c r="BN340" s="236">
        <v>0</v>
      </c>
      <c r="BO340" s="236">
        <v>14.615740000000001</v>
      </c>
      <c r="BP340" s="236">
        <v>203.42554999999999</v>
      </c>
      <c r="BQ340" s="236">
        <v>301.41636</v>
      </c>
      <c r="BR340" s="236">
        <v>724.02868999999998</v>
      </c>
      <c r="BS340" s="236">
        <v>136.15219999999999</v>
      </c>
      <c r="BT340" s="236">
        <v>64.192851500000003</v>
      </c>
      <c r="BU340" s="236">
        <v>0</v>
      </c>
      <c r="BV340" s="236">
        <v>0</v>
      </c>
      <c r="BW340" s="236">
        <v>0</v>
      </c>
      <c r="BX340" s="236">
        <v>0</v>
      </c>
      <c r="BY340" s="234">
        <v>64.192851539999992</v>
      </c>
      <c r="BZ340" s="236" t="s">
        <v>109</v>
      </c>
      <c r="CA340" s="236" t="s">
        <v>109</v>
      </c>
      <c r="CB340" s="236">
        <v>2025</v>
      </c>
      <c r="CC340" s="236">
        <v>0</v>
      </c>
      <c r="CD340" s="236">
        <v>0</v>
      </c>
      <c r="CE340" s="236">
        <v>0</v>
      </c>
      <c r="CF340" s="236">
        <v>0</v>
      </c>
      <c r="CG340" s="236">
        <v>0</v>
      </c>
      <c r="CH340" s="236">
        <v>1379.6385399999999</v>
      </c>
      <c r="CI340" s="236">
        <v>64.192851499999904</v>
      </c>
      <c r="CJ340" s="237">
        <v>0</v>
      </c>
      <c r="CK340" s="177" t="s">
        <v>2368</v>
      </c>
      <c r="CL340" s="177" t="s">
        <v>128</v>
      </c>
      <c r="CM340" s="155" t="s">
        <v>109</v>
      </c>
      <c r="CN340" s="229">
        <v>0</v>
      </c>
      <c r="CO340" s="229">
        <v>1</v>
      </c>
      <c r="CP340" s="138" t="s">
        <v>2374</v>
      </c>
      <c r="CR340" s="248"/>
    </row>
    <row r="341" spans="1:96" ht="14.4" x14ac:dyDescent="0.3">
      <c r="A341">
        <v>338</v>
      </c>
      <c r="B341" s="173" t="s">
        <v>2376</v>
      </c>
      <c r="C341" s="259"/>
      <c r="D341" s="260"/>
      <c r="E341" t="s">
        <v>410</v>
      </c>
      <c r="F341" t="s">
        <v>2377</v>
      </c>
      <c r="G341" s="177" t="s">
        <v>145</v>
      </c>
      <c r="H341" s="177" t="s">
        <v>112</v>
      </c>
      <c r="I341" s="177" t="s">
        <v>112</v>
      </c>
      <c r="J341" s="177" t="s">
        <v>109</v>
      </c>
      <c r="K341" s="177" t="s">
        <v>485</v>
      </c>
      <c r="L341" s="177" t="s">
        <v>504</v>
      </c>
      <c r="M341" s="177" t="s">
        <v>109</v>
      </c>
      <c r="N341" s="177" t="s">
        <v>109</v>
      </c>
      <c r="O341" s="180">
        <v>45783</v>
      </c>
      <c r="P341" s="177" t="s">
        <v>109</v>
      </c>
      <c r="Q341" s="177" t="s">
        <v>109</v>
      </c>
      <c r="R341" s="177" t="s">
        <v>109</v>
      </c>
      <c r="S341" s="177" t="s">
        <v>109</v>
      </c>
      <c r="T341" s="177" t="s">
        <v>404</v>
      </c>
      <c r="U341" s="177" t="s">
        <v>117</v>
      </c>
      <c r="V341" s="177" t="b">
        <v>0</v>
      </c>
      <c r="W341" s="177" t="s">
        <v>109</v>
      </c>
      <c r="X341" s="261"/>
      <c r="Y341" s="177" t="s">
        <v>109</v>
      </c>
      <c r="Z341" s="176">
        <v>0.94</v>
      </c>
      <c r="AA341" s="177" t="s">
        <v>109</v>
      </c>
      <c r="AB341" s="177" t="s">
        <v>109</v>
      </c>
      <c r="AC341" s="177">
        <v>1.4</v>
      </c>
      <c r="AD341" s="177" t="s">
        <v>2378</v>
      </c>
      <c r="AE341" s="177" t="s">
        <v>2379</v>
      </c>
      <c r="AF341" s="177">
        <v>1</v>
      </c>
      <c r="AG341" s="177">
        <v>23242</v>
      </c>
      <c r="AH341" s="177" t="s">
        <v>121</v>
      </c>
      <c r="AI341" s="177" t="b">
        <v>1</v>
      </c>
      <c r="AJ341" s="180">
        <v>45190</v>
      </c>
      <c r="AK341" s="177" t="s">
        <v>122</v>
      </c>
      <c r="AL341" s="177">
        <v>2024</v>
      </c>
      <c r="AM341" s="177" t="s">
        <v>109</v>
      </c>
      <c r="AN341" s="177" t="b">
        <v>0</v>
      </c>
      <c r="AO341" s="177" t="s">
        <v>109</v>
      </c>
      <c r="AP341" s="177" t="s">
        <v>109</v>
      </c>
      <c r="AQ341" s="177" t="s">
        <v>109</v>
      </c>
      <c r="AR341" s="177" t="b">
        <v>0</v>
      </c>
      <c r="AS341" s="177" t="s">
        <v>123</v>
      </c>
      <c r="AT341" s="180" t="s">
        <v>123</v>
      </c>
      <c r="AU341" s="177" t="s">
        <v>124</v>
      </c>
      <c r="AV341" s="177" t="s">
        <v>109</v>
      </c>
      <c r="AW341" s="177" t="s">
        <v>109</v>
      </c>
      <c r="AX341" s="177" t="s">
        <v>109</v>
      </c>
      <c r="AY341" s="177" t="s">
        <v>135</v>
      </c>
      <c r="AZ341" s="177" t="s">
        <v>109</v>
      </c>
      <c r="BA341" s="177" t="s">
        <v>125</v>
      </c>
      <c r="BB341" s="177" t="s">
        <v>109</v>
      </c>
      <c r="BC341" s="177" t="s">
        <v>150</v>
      </c>
      <c r="BD341" s="177" t="s">
        <v>109</v>
      </c>
      <c r="BE341" s="180" t="s">
        <v>153</v>
      </c>
      <c r="BF341" s="180" t="s">
        <v>227</v>
      </c>
      <c r="BG341" s="180" t="s">
        <v>2380</v>
      </c>
      <c r="BH341" s="177" t="s">
        <v>109</v>
      </c>
      <c r="BI341" s="177" t="s">
        <v>109</v>
      </c>
      <c r="BJ341" s="177" t="b">
        <v>1</v>
      </c>
      <c r="BK341" s="233">
        <v>11703.45757</v>
      </c>
      <c r="BL341" s="234" t="s">
        <v>128</v>
      </c>
      <c r="BM341" s="254">
        <v>4896.8500000000004</v>
      </c>
      <c r="BN341" s="254">
        <v>0</v>
      </c>
      <c r="BO341" s="254">
        <v>0</v>
      </c>
      <c r="BP341" s="254">
        <v>0</v>
      </c>
      <c r="BQ341" s="254">
        <v>110.29984</v>
      </c>
      <c r="BR341" s="254">
        <v>3040.3095400000002</v>
      </c>
      <c r="BS341" s="254">
        <v>559.54495999999995</v>
      </c>
      <c r="BT341" s="254">
        <v>1186.6952943000001</v>
      </c>
      <c r="BU341" s="254">
        <v>0</v>
      </c>
      <c r="BV341" s="254">
        <v>0</v>
      </c>
      <c r="BW341" s="254">
        <v>0</v>
      </c>
      <c r="BX341" s="254">
        <v>0</v>
      </c>
      <c r="BY341" s="255">
        <v>3710.154</v>
      </c>
      <c r="BZ341" s="236" t="s">
        <v>109</v>
      </c>
      <c r="CA341" s="236" t="s">
        <v>109</v>
      </c>
      <c r="CB341" s="246">
        <v>2025</v>
      </c>
      <c r="CC341" s="254">
        <v>0</v>
      </c>
      <c r="CD341" s="254">
        <v>0</v>
      </c>
      <c r="CE341" s="254">
        <v>0</v>
      </c>
      <c r="CF341" s="254">
        <v>0</v>
      </c>
      <c r="CG341" s="254">
        <v>0</v>
      </c>
      <c r="CH341" s="254">
        <v>0</v>
      </c>
      <c r="CI341" s="254">
        <v>4896.8496342999997</v>
      </c>
      <c r="CJ341" s="237">
        <v>0</v>
      </c>
      <c r="CK341" s="177" t="s">
        <v>128</v>
      </c>
      <c r="CL341" s="177">
        <v>2.8</v>
      </c>
      <c r="CM341" s="155" t="s">
        <v>109</v>
      </c>
      <c r="CN341" s="229">
        <v>0</v>
      </c>
      <c r="CO341" s="229">
        <v>0</v>
      </c>
      <c r="CP341" t="s">
        <v>2381</v>
      </c>
      <c r="CR341" s="248"/>
    </row>
    <row r="342" spans="1:96" ht="14.4" x14ac:dyDescent="0.3">
      <c r="A342">
        <v>339</v>
      </c>
      <c r="B342" s="173" t="s">
        <v>2382</v>
      </c>
      <c r="C342" s="259"/>
      <c r="D342" s="260"/>
      <c r="E342" t="s">
        <v>410</v>
      </c>
      <c r="F342" t="s">
        <v>2383</v>
      </c>
      <c r="G342" s="177" t="s">
        <v>145</v>
      </c>
      <c r="H342" s="177" t="s">
        <v>112</v>
      </c>
      <c r="I342" s="177" t="s">
        <v>109</v>
      </c>
      <c r="J342" s="177" t="s">
        <v>109</v>
      </c>
      <c r="K342" s="177" t="s">
        <v>485</v>
      </c>
      <c r="L342" s="177" t="s">
        <v>1010</v>
      </c>
      <c r="M342" s="177" t="s">
        <v>109</v>
      </c>
      <c r="N342" s="177" t="s">
        <v>109</v>
      </c>
      <c r="O342" s="180">
        <v>45758</v>
      </c>
      <c r="P342" s="177" t="s">
        <v>109</v>
      </c>
      <c r="Q342" s="177" t="s">
        <v>109</v>
      </c>
      <c r="R342" s="177" t="s">
        <v>109</v>
      </c>
      <c r="S342" s="177" t="s">
        <v>109</v>
      </c>
      <c r="T342" s="177" t="s">
        <v>116</v>
      </c>
      <c r="U342" s="177" t="s">
        <v>117</v>
      </c>
      <c r="V342" s="177" t="b">
        <v>0</v>
      </c>
      <c r="W342" s="177" t="s">
        <v>109</v>
      </c>
      <c r="X342" s="261"/>
      <c r="Y342" s="177" t="s">
        <v>109</v>
      </c>
      <c r="Z342" s="176">
        <v>2.78</v>
      </c>
      <c r="AA342" s="177" t="s">
        <v>119</v>
      </c>
      <c r="AB342" s="177" t="s">
        <v>2384</v>
      </c>
      <c r="AC342" s="177">
        <v>1.4</v>
      </c>
      <c r="AD342" s="177" t="s">
        <v>2385</v>
      </c>
      <c r="AE342" s="177" t="s">
        <v>2386</v>
      </c>
      <c r="AF342" s="177">
        <v>1</v>
      </c>
      <c r="AG342" s="177">
        <v>23258</v>
      </c>
      <c r="AH342" s="177" t="s">
        <v>121</v>
      </c>
      <c r="AI342" s="177" t="b">
        <v>1</v>
      </c>
      <c r="AJ342" s="180">
        <v>45413</v>
      </c>
      <c r="AK342" s="177" t="s">
        <v>122</v>
      </c>
      <c r="AL342" s="177">
        <v>2024</v>
      </c>
      <c r="AM342" s="177" t="s">
        <v>109</v>
      </c>
      <c r="AN342" s="177" t="b">
        <v>0</v>
      </c>
      <c r="AO342" s="177" t="s">
        <v>109</v>
      </c>
      <c r="AP342" s="177" t="s">
        <v>109</v>
      </c>
      <c r="AQ342" s="177" t="s">
        <v>109</v>
      </c>
      <c r="AR342" s="177" t="b">
        <v>0</v>
      </c>
      <c r="AS342" s="177" t="s">
        <v>123</v>
      </c>
      <c r="AT342" s="180" t="s">
        <v>123</v>
      </c>
      <c r="AU342" s="177" t="s">
        <v>124</v>
      </c>
      <c r="AV342" s="177" t="s">
        <v>109</v>
      </c>
      <c r="AW342" s="177" t="s">
        <v>109</v>
      </c>
      <c r="AX342" s="177" t="s">
        <v>109</v>
      </c>
      <c r="AY342" s="177" t="s">
        <v>135</v>
      </c>
      <c r="AZ342" s="177" t="s">
        <v>109</v>
      </c>
      <c r="BA342" s="177" t="s">
        <v>125</v>
      </c>
      <c r="BB342" s="177" t="s">
        <v>109</v>
      </c>
      <c r="BC342" s="177" t="s">
        <v>546</v>
      </c>
      <c r="BD342" s="177" t="s">
        <v>109</v>
      </c>
      <c r="BE342" s="180" t="s">
        <v>2387</v>
      </c>
      <c r="BF342" s="180" t="s">
        <v>127</v>
      </c>
      <c r="BG342" s="180" t="s">
        <v>2388</v>
      </c>
      <c r="BH342" s="177" t="s">
        <v>109</v>
      </c>
      <c r="BI342" s="177" t="s">
        <v>109</v>
      </c>
      <c r="BJ342" s="177" t="b">
        <v>0</v>
      </c>
      <c r="BK342" s="233">
        <v>8648.84476</v>
      </c>
      <c r="BL342" s="234" t="s">
        <v>128</v>
      </c>
      <c r="BM342" s="233">
        <v>1144.27151821185</v>
      </c>
      <c r="BN342" s="233">
        <v>0</v>
      </c>
      <c r="BO342" s="233">
        <v>0</v>
      </c>
      <c r="BP342" s="233">
        <v>0</v>
      </c>
      <c r="BQ342" s="233">
        <v>0.41067999999999999</v>
      </c>
      <c r="BR342" s="233">
        <v>159.93988999999999</v>
      </c>
      <c r="BS342" s="233">
        <v>8.1525599999999994</v>
      </c>
      <c r="BT342" s="233">
        <v>46.376602099999999</v>
      </c>
      <c r="BU342" s="233">
        <v>525.39519710000002</v>
      </c>
      <c r="BV342" s="233">
        <v>336.85321729999998</v>
      </c>
      <c r="BW342" s="233">
        <v>67.143371799999997</v>
      </c>
      <c r="BX342" s="233">
        <v>0</v>
      </c>
      <c r="BY342" s="234">
        <v>168.50312991184973</v>
      </c>
      <c r="BZ342" s="236" t="s">
        <v>109</v>
      </c>
      <c r="CA342" s="236" t="s">
        <v>109</v>
      </c>
      <c r="CB342" s="236" t="s">
        <v>109</v>
      </c>
      <c r="CC342" s="233">
        <v>0</v>
      </c>
      <c r="CD342" s="233">
        <v>0</v>
      </c>
      <c r="CE342" s="233">
        <v>0</v>
      </c>
      <c r="CF342" s="233">
        <v>0</v>
      </c>
      <c r="CG342" s="233">
        <v>0</v>
      </c>
      <c r="CH342" s="233">
        <v>0</v>
      </c>
      <c r="CI342" s="233">
        <v>0</v>
      </c>
      <c r="CJ342" s="177" t="s">
        <v>128</v>
      </c>
      <c r="CK342" s="177" t="s">
        <v>128</v>
      </c>
      <c r="CL342" s="177">
        <v>6.2</v>
      </c>
      <c r="CM342" s="155" t="s">
        <v>109</v>
      </c>
      <c r="CN342" s="229">
        <v>0</v>
      </c>
      <c r="CO342" s="229">
        <v>1</v>
      </c>
      <c r="CP342" t="s">
        <v>2389</v>
      </c>
      <c r="CR342" s="248"/>
    </row>
    <row r="343" spans="1:96" ht="14.4" x14ac:dyDescent="0.3">
      <c r="A343">
        <v>340</v>
      </c>
      <c r="B343" s="173" t="s">
        <v>2390</v>
      </c>
      <c r="C343" s="259"/>
      <c r="D343" s="260"/>
      <c r="E343" t="s">
        <v>1731</v>
      </c>
      <c r="F343" t="s">
        <v>2391</v>
      </c>
      <c r="G343" s="177" t="s">
        <v>886</v>
      </c>
      <c r="H343" s="177" t="s">
        <v>113</v>
      </c>
      <c r="I343" s="177" t="s">
        <v>109</v>
      </c>
      <c r="J343" s="177" t="s">
        <v>109</v>
      </c>
      <c r="K343" s="177" t="s">
        <v>114</v>
      </c>
      <c r="L343" s="177" t="s">
        <v>251</v>
      </c>
      <c r="M343" s="177" t="s">
        <v>109</v>
      </c>
      <c r="N343" s="177" t="s">
        <v>109</v>
      </c>
      <c r="O343" s="180">
        <v>45685</v>
      </c>
      <c r="P343" s="177" t="s">
        <v>2392</v>
      </c>
      <c r="Q343" s="177" t="s">
        <v>109</v>
      </c>
      <c r="R343" s="177" t="s">
        <v>109</v>
      </c>
      <c r="S343" s="177" t="s">
        <v>109</v>
      </c>
      <c r="T343" s="177" t="s">
        <v>116</v>
      </c>
      <c r="U343" s="177" t="s">
        <v>117</v>
      </c>
      <c r="V343" s="177" t="b">
        <v>0</v>
      </c>
      <c r="W343" s="177" t="s">
        <v>109</v>
      </c>
      <c r="X343" s="261"/>
      <c r="Y343" s="177">
        <v>1</v>
      </c>
      <c r="Z343" s="177" t="s">
        <v>118</v>
      </c>
      <c r="AA343" s="177">
        <v>69</v>
      </c>
      <c r="AB343" s="177" t="s">
        <v>109</v>
      </c>
      <c r="AC343" s="177">
        <v>4.0999999999999996</v>
      </c>
      <c r="AD343" s="177" t="s">
        <v>2393</v>
      </c>
      <c r="AE343" s="177" t="s">
        <v>2394</v>
      </c>
      <c r="AF343" s="177">
        <v>1</v>
      </c>
      <c r="AG343" s="177">
        <v>24125</v>
      </c>
      <c r="AH343" s="177" t="s">
        <v>121</v>
      </c>
      <c r="AI343" s="177" t="b">
        <v>1</v>
      </c>
      <c r="AJ343" s="180">
        <v>45307</v>
      </c>
      <c r="AK343" s="177" t="s">
        <v>122</v>
      </c>
      <c r="AL343" s="177" t="s">
        <v>109</v>
      </c>
      <c r="AM343" s="177" t="s">
        <v>109</v>
      </c>
      <c r="AN343" s="177" t="b">
        <v>0</v>
      </c>
      <c r="AO343" s="177" t="s">
        <v>109</v>
      </c>
      <c r="AP343" s="177" t="s">
        <v>109</v>
      </c>
      <c r="AQ343" s="177" t="s">
        <v>109</v>
      </c>
      <c r="AR343" s="177" t="b">
        <v>0</v>
      </c>
      <c r="AS343" s="177" t="s">
        <v>123</v>
      </c>
      <c r="AT343" s="180" t="s">
        <v>123</v>
      </c>
      <c r="AU343" s="177" t="s">
        <v>124</v>
      </c>
      <c r="AV343" s="177" t="s">
        <v>109</v>
      </c>
      <c r="AW343" s="177" t="s">
        <v>109</v>
      </c>
      <c r="AX343" s="177" t="s">
        <v>109</v>
      </c>
      <c r="AY343" s="177" t="s">
        <v>135</v>
      </c>
      <c r="AZ343" s="177" t="s">
        <v>109</v>
      </c>
      <c r="BA343" s="177" t="s">
        <v>125</v>
      </c>
      <c r="BB343" s="177" t="s">
        <v>109</v>
      </c>
      <c r="BC343" s="177" t="s">
        <v>126</v>
      </c>
      <c r="BD343" s="177" t="s">
        <v>109</v>
      </c>
      <c r="BE343" s="180" t="s">
        <v>2395</v>
      </c>
      <c r="BF343" s="180" t="s">
        <v>2396</v>
      </c>
      <c r="BG343" s="180" t="s">
        <v>2397</v>
      </c>
      <c r="BH343" s="177" t="s">
        <v>109</v>
      </c>
      <c r="BI343" s="177" t="s">
        <v>109</v>
      </c>
      <c r="BJ343" s="177" t="b">
        <v>1</v>
      </c>
      <c r="BK343" s="233">
        <v>6625.1660000000002</v>
      </c>
      <c r="BL343" s="234" t="s">
        <v>128</v>
      </c>
      <c r="BM343" s="233">
        <v>6629.6752500000002</v>
      </c>
      <c r="BN343" s="233">
        <v>0</v>
      </c>
      <c r="BO343" s="233">
        <v>0</v>
      </c>
      <c r="BP343" s="233">
        <v>0</v>
      </c>
      <c r="BQ343" s="233">
        <v>0</v>
      </c>
      <c r="BR343" s="233">
        <v>6630.5525399999997</v>
      </c>
      <c r="BS343" s="233">
        <v>-0.87729000000000001</v>
      </c>
      <c r="BT343" s="233">
        <v>0</v>
      </c>
      <c r="BU343" s="233">
        <v>0</v>
      </c>
      <c r="BV343" s="233">
        <v>0</v>
      </c>
      <c r="BW343" s="233">
        <v>0</v>
      </c>
      <c r="BX343" s="233">
        <v>0</v>
      </c>
      <c r="BY343" s="234">
        <v>0</v>
      </c>
      <c r="BZ343" s="236" t="s">
        <v>109</v>
      </c>
      <c r="CA343" s="236" t="s">
        <v>109</v>
      </c>
      <c r="CB343" s="233" t="s">
        <v>196</v>
      </c>
      <c r="CC343" s="233">
        <v>0</v>
      </c>
      <c r="CD343" s="233">
        <v>0</v>
      </c>
      <c r="CE343" s="233">
        <v>0</v>
      </c>
      <c r="CF343" s="233">
        <v>0</v>
      </c>
      <c r="CG343" s="233">
        <v>6630.5525399999997</v>
      </c>
      <c r="CH343" s="233">
        <v>-0.87729000000000001</v>
      </c>
      <c r="CI343" s="233">
        <v>0</v>
      </c>
      <c r="CJ343" s="237">
        <v>0</v>
      </c>
      <c r="CK343" s="177" t="s">
        <v>128</v>
      </c>
      <c r="CL343" s="177" t="s">
        <v>128</v>
      </c>
      <c r="CM343" s="155" t="s">
        <v>109</v>
      </c>
      <c r="CN343" s="229">
        <v>0</v>
      </c>
      <c r="CO343" s="229">
        <v>1</v>
      </c>
      <c r="CP343" t="s">
        <v>155</v>
      </c>
      <c r="CR343" s="248"/>
    </row>
    <row r="344" spans="1:96" ht="72" x14ac:dyDescent="0.3">
      <c r="A344">
        <v>341</v>
      </c>
      <c r="B344" s="173" t="s">
        <v>2398</v>
      </c>
      <c r="C344" s="259"/>
      <c r="D344" s="260"/>
      <c r="E344" t="s">
        <v>329</v>
      </c>
      <c r="F344" t="s">
        <v>2399</v>
      </c>
      <c r="G344" s="177" t="s">
        <v>2002</v>
      </c>
      <c r="H344" s="177" t="s">
        <v>112</v>
      </c>
      <c r="I344" s="177" t="s">
        <v>109</v>
      </c>
      <c r="J344" s="177" t="s">
        <v>109</v>
      </c>
      <c r="K344" s="177" t="s">
        <v>192</v>
      </c>
      <c r="L344" s="177" t="s">
        <v>663</v>
      </c>
      <c r="M344" s="177" t="s">
        <v>706</v>
      </c>
      <c r="N344" s="177" t="s">
        <v>109</v>
      </c>
      <c r="O344" s="180">
        <v>45692</v>
      </c>
      <c r="P344" s="177" t="s">
        <v>109</v>
      </c>
      <c r="Q344" s="177" t="s">
        <v>508</v>
      </c>
      <c r="R344" s="177" t="s">
        <v>109</v>
      </c>
      <c r="S344" s="177" t="s">
        <v>2400</v>
      </c>
      <c r="T344" s="177" t="s">
        <v>116</v>
      </c>
      <c r="U344" s="177" t="s">
        <v>117</v>
      </c>
      <c r="V344" s="177" t="b">
        <v>0</v>
      </c>
      <c r="W344" s="177" t="s">
        <v>109</v>
      </c>
      <c r="X344" s="261"/>
      <c r="Y344" s="177" t="s">
        <v>118</v>
      </c>
      <c r="Z344" s="176">
        <v>13.94</v>
      </c>
      <c r="AA344" s="177">
        <v>230</v>
      </c>
      <c r="AB344" s="177" t="s">
        <v>180</v>
      </c>
      <c r="AC344" s="177">
        <v>2.1</v>
      </c>
      <c r="AD344" s="177" t="s">
        <v>2401</v>
      </c>
      <c r="AE344" s="177" t="s">
        <v>2402</v>
      </c>
      <c r="AF344" s="177">
        <v>1</v>
      </c>
      <c r="AG344" s="177">
        <v>24126</v>
      </c>
      <c r="AH344" s="177" t="s">
        <v>121</v>
      </c>
      <c r="AI344" s="177" t="b">
        <v>0</v>
      </c>
      <c r="AJ344" s="180" t="s">
        <v>109</v>
      </c>
      <c r="AK344" s="177" t="s">
        <v>122</v>
      </c>
      <c r="AL344" s="177" t="s">
        <v>109</v>
      </c>
      <c r="AM344" s="177">
        <v>2023</v>
      </c>
      <c r="AN344" s="177" t="b">
        <v>0</v>
      </c>
      <c r="AO344" s="177" t="s">
        <v>1209</v>
      </c>
      <c r="AP344" s="177">
        <v>2023</v>
      </c>
      <c r="AQ344" s="177" t="s">
        <v>2336</v>
      </c>
      <c r="AR344" s="177" t="s">
        <v>531</v>
      </c>
      <c r="AS344" s="177" t="s">
        <v>109</v>
      </c>
      <c r="AT344" s="180" t="s">
        <v>118</v>
      </c>
      <c r="AU344" s="177" t="s">
        <v>109</v>
      </c>
      <c r="AV344" s="177" t="s">
        <v>109</v>
      </c>
      <c r="AW344" s="177" t="s">
        <v>109</v>
      </c>
      <c r="AX344" s="177" t="s">
        <v>109</v>
      </c>
      <c r="AY344" s="177" t="s">
        <v>109</v>
      </c>
      <c r="AZ344" s="177" t="s">
        <v>109</v>
      </c>
      <c r="BA344" s="177" t="s">
        <v>218</v>
      </c>
      <c r="BB344" s="177" t="s">
        <v>109</v>
      </c>
      <c r="BC344" s="177" t="s">
        <v>425</v>
      </c>
      <c r="BD344" s="177" t="s">
        <v>109</v>
      </c>
      <c r="BE344" s="180" t="s">
        <v>2245</v>
      </c>
      <c r="BF344" s="180" t="s">
        <v>2403</v>
      </c>
      <c r="BG344" s="180" t="s">
        <v>2404</v>
      </c>
      <c r="BH344" s="177" t="s">
        <v>109</v>
      </c>
      <c r="BI344" s="177" t="s">
        <v>109</v>
      </c>
      <c r="BJ344" s="177" t="b">
        <v>0</v>
      </c>
      <c r="BK344" s="233">
        <v>7290</v>
      </c>
      <c r="BL344" s="234" t="s">
        <v>128</v>
      </c>
      <c r="BM344" s="233">
        <v>20556.4964155036</v>
      </c>
      <c r="BN344" s="233">
        <v>0</v>
      </c>
      <c r="BO344" s="233">
        <v>0</v>
      </c>
      <c r="BP344" s="233">
        <v>0</v>
      </c>
      <c r="BQ344" s="233">
        <v>0</v>
      </c>
      <c r="BR344" s="233">
        <v>416.54790000000003</v>
      </c>
      <c r="BS344" s="233">
        <v>468.73106000000001</v>
      </c>
      <c r="BT344" s="233">
        <v>10674.0105303</v>
      </c>
      <c r="BU344" s="233">
        <v>8997.2069252000001</v>
      </c>
      <c r="BV344" s="233">
        <v>0</v>
      </c>
      <c r="BW344" s="233">
        <v>0</v>
      </c>
      <c r="BX344" s="233">
        <v>0</v>
      </c>
      <c r="BY344" s="234">
        <v>885</v>
      </c>
      <c r="BZ344" s="236" t="s">
        <v>109</v>
      </c>
      <c r="CA344" s="236" t="s">
        <v>109</v>
      </c>
      <c r="CB344" s="236" t="s">
        <v>109</v>
      </c>
      <c r="CC344" s="233">
        <v>0</v>
      </c>
      <c r="CD344" s="233">
        <v>0</v>
      </c>
      <c r="CE344" s="233">
        <v>0</v>
      </c>
      <c r="CF344" s="233">
        <v>0</v>
      </c>
      <c r="CG344" s="233">
        <v>0</v>
      </c>
      <c r="CH344" s="233">
        <v>0</v>
      </c>
      <c r="CI344" s="233">
        <v>0</v>
      </c>
      <c r="CJ344" s="237">
        <v>0</v>
      </c>
      <c r="CK344" s="177" t="s">
        <v>128</v>
      </c>
      <c r="CL344" s="177" t="s">
        <v>128</v>
      </c>
      <c r="CM344" s="155" t="s">
        <v>109</v>
      </c>
      <c r="CN344" s="229">
        <v>1</v>
      </c>
      <c r="CO344" s="229">
        <v>0</v>
      </c>
      <c r="CP344" s="138" t="s">
        <v>2405</v>
      </c>
      <c r="CR344" s="248"/>
    </row>
    <row r="345" spans="1:96" ht="14.4" x14ac:dyDescent="0.3">
      <c r="A345">
        <v>342</v>
      </c>
      <c r="B345" s="173" t="s">
        <v>2407</v>
      </c>
      <c r="C345" s="259"/>
      <c r="D345" s="260"/>
      <c r="E345" t="s">
        <v>2408</v>
      </c>
      <c r="F345" t="s">
        <v>2409</v>
      </c>
      <c r="G345" s="177" t="s">
        <v>661</v>
      </c>
      <c r="H345" s="177" t="s">
        <v>958</v>
      </c>
      <c r="I345" s="177" t="s">
        <v>109</v>
      </c>
      <c r="J345" s="177" t="s">
        <v>109</v>
      </c>
      <c r="K345" s="177" t="s">
        <v>192</v>
      </c>
      <c r="L345" s="177" t="s">
        <v>663</v>
      </c>
      <c r="M345" s="177" t="s">
        <v>706</v>
      </c>
      <c r="N345" s="177" t="s">
        <v>109</v>
      </c>
      <c r="O345" s="180" t="s">
        <v>2410</v>
      </c>
      <c r="P345" s="177" t="s">
        <v>109</v>
      </c>
      <c r="Q345" s="177" t="s">
        <v>508</v>
      </c>
      <c r="R345" s="177" t="s">
        <v>109</v>
      </c>
      <c r="S345" s="177" t="s">
        <v>2411</v>
      </c>
      <c r="T345" s="177" t="s">
        <v>116</v>
      </c>
      <c r="U345" s="177" t="s">
        <v>117</v>
      </c>
      <c r="V345" s="177" t="b">
        <v>0</v>
      </c>
      <c r="W345" s="177" t="s">
        <v>109</v>
      </c>
      <c r="X345" s="261"/>
      <c r="Y345" s="177">
        <v>2</v>
      </c>
      <c r="Z345" s="177" t="s">
        <v>118</v>
      </c>
      <c r="AA345" s="177" t="s">
        <v>2412</v>
      </c>
      <c r="AB345" s="177" t="s">
        <v>109</v>
      </c>
      <c r="AC345" s="177">
        <v>2.1</v>
      </c>
      <c r="AD345" s="177" t="s">
        <v>2413</v>
      </c>
      <c r="AE345" s="177" t="s">
        <v>2414</v>
      </c>
      <c r="AF345" s="177">
        <v>1</v>
      </c>
      <c r="AG345" s="177">
        <v>24127</v>
      </c>
      <c r="AH345" s="177" t="s">
        <v>121</v>
      </c>
      <c r="AI345" s="177" t="b">
        <v>0</v>
      </c>
      <c r="AJ345" s="180" t="s">
        <v>109</v>
      </c>
      <c r="AK345" s="177" t="s">
        <v>122</v>
      </c>
      <c r="AL345" s="177" t="s">
        <v>109</v>
      </c>
      <c r="AM345" s="177">
        <v>2023</v>
      </c>
      <c r="AN345" s="177" t="b">
        <v>0</v>
      </c>
      <c r="AO345" s="177" t="s">
        <v>1209</v>
      </c>
      <c r="AP345" s="177">
        <v>2023</v>
      </c>
      <c r="AQ345" s="177" t="s">
        <v>2336</v>
      </c>
      <c r="AR345" s="177" t="b">
        <v>0</v>
      </c>
      <c r="AS345" s="177" t="s">
        <v>109</v>
      </c>
      <c r="AT345" s="180" t="s">
        <v>118</v>
      </c>
      <c r="AU345" s="177" t="s">
        <v>109</v>
      </c>
      <c r="AV345" s="177" t="s">
        <v>109</v>
      </c>
      <c r="AW345" s="177" t="s">
        <v>109</v>
      </c>
      <c r="AX345" s="177" t="s">
        <v>109</v>
      </c>
      <c r="AY345" s="177" t="s">
        <v>109</v>
      </c>
      <c r="AZ345" s="177" t="s">
        <v>109</v>
      </c>
      <c r="BA345" s="177" t="s">
        <v>125</v>
      </c>
      <c r="BB345" s="177" t="s">
        <v>109</v>
      </c>
      <c r="BC345" s="177" t="s">
        <v>546</v>
      </c>
      <c r="BD345" s="177" t="s">
        <v>109</v>
      </c>
      <c r="BE345" s="180" t="s">
        <v>109</v>
      </c>
      <c r="BF345" s="180" t="s">
        <v>2415</v>
      </c>
      <c r="BG345" s="180" t="s">
        <v>2403</v>
      </c>
      <c r="BH345" s="177" t="s">
        <v>109</v>
      </c>
      <c r="BI345" s="177" t="s">
        <v>109</v>
      </c>
      <c r="BJ345" s="177" t="b">
        <v>0</v>
      </c>
      <c r="BK345" s="233">
        <v>17942</v>
      </c>
      <c r="BL345" s="234" t="s">
        <v>128</v>
      </c>
      <c r="BM345" s="233">
        <v>21813.1760751486</v>
      </c>
      <c r="BN345" s="233">
        <v>0</v>
      </c>
      <c r="BO345" s="233">
        <v>0</v>
      </c>
      <c r="BP345" s="233">
        <v>0</v>
      </c>
      <c r="BQ345" s="233">
        <v>0</v>
      </c>
      <c r="BR345" s="233">
        <v>209.67765</v>
      </c>
      <c r="BS345" s="233">
        <v>172.21977000000001</v>
      </c>
      <c r="BT345" s="233">
        <v>565.56076410000003</v>
      </c>
      <c r="BU345" s="233">
        <v>543.8475502</v>
      </c>
      <c r="BV345" s="233">
        <v>594.09192270000005</v>
      </c>
      <c r="BW345" s="233">
        <v>648.97821539999995</v>
      </c>
      <c r="BX345" s="233">
        <v>708.93528089999995</v>
      </c>
      <c r="BY345" s="234">
        <v>18751.7623418486</v>
      </c>
      <c r="BZ345" s="236" t="s">
        <v>109</v>
      </c>
      <c r="CA345" s="236" t="s">
        <v>109</v>
      </c>
      <c r="CB345" s="236" t="s">
        <v>109</v>
      </c>
      <c r="CC345" s="233">
        <v>0</v>
      </c>
      <c r="CD345" s="233">
        <v>0</v>
      </c>
      <c r="CE345" s="233">
        <v>0</v>
      </c>
      <c r="CF345" s="233">
        <v>0</v>
      </c>
      <c r="CG345" s="233">
        <v>0</v>
      </c>
      <c r="CH345" s="233">
        <v>0</v>
      </c>
      <c r="CI345" s="233">
        <v>0</v>
      </c>
      <c r="CJ345" s="237">
        <v>0</v>
      </c>
      <c r="CK345" s="177" t="s">
        <v>128</v>
      </c>
      <c r="CL345" s="177" t="s">
        <v>128</v>
      </c>
      <c r="CM345" s="155" t="s">
        <v>109</v>
      </c>
      <c r="CN345" s="229">
        <v>0.13550000000000001</v>
      </c>
      <c r="CO345" s="229">
        <v>0.86450000000000005</v>
      </c>
      <c r="CP345" t="s">
        <v>2416</v>
      </c>
      <c r="CR345" s="248"/>
    </row>
    <row r="346" spans="1:96" ht="14.4" x14ac:dyDescent="0.3">
      <c r="A346">
        <v>343</v>
      </c>
      <c r="B346" s="173" t="s">
        <v>2417</v>
      </c>
      <c r="C346" s="259"/>
      <c r="D346" s="260"/>
      <c r="E346" t="s">
        <v>191</v>
      </c>
      <c r="F346" t="s">
        <v>2418</v>
      </c>
      <c r="G346" s="177" t="s">
        <v>886</v>
      </c>
      <c r="H346" s="177" t="s">
        <v>113</v>
      </c>
      <c r="I346" s="177" t="s">
        <v>109</v>
      </c>
      <c r="J346" s="177" t="s">
        <v>109</v>
      </c>
      <c r="K346" s="177" t="s">
        <v>114</v>
      </c>
      <c r="L346" s="177" t="s">
        <v>251</v>
      </c>
      <c r="M346" s="177" t="s">
        <v>109</v>
      </c>
      <c r="N346" s="177" t="s">
        <v>109</v>
      </c>
      <c r="O346" s="180" t="s">
        <v>109</v>
      </c>
      <c r="P346" s="177" t="s">
        <v>109</v>
      </c>
      <c r="Q346" s="177" t="s">
        <v>109</v>
      </c>
      <c r="R346" s="177" t="s">
        <v>109</v>
      </c>
      <c r="S346" s="177" t="s">
        <v>109</v>
      </c>
      <c r="T346" s="177" t="s">
        <v>116</v>
      </c>
      <c r="U346" s="177" t="s">
        <v>117</v>
      </c>
      <c r="V346" s="177" t="b">
        <v>0</v>
      </c>
      <c r="W346" s="177" t="s">
        <v>109</v>
      </c>
      <c r="X346" s="261"/>
      <c r="Y346" s="177">
        <v>23</v>
      </c>
      <c r="Z346" s="177" t="s">
        <v>118</v>
      </c>
      <c r="AA346" s="177" t="s">
        <v>119</v>
      </c>
      <c r="AB346" s="177" t="s">
        <v>109</v>
      </c>
      <c r="AC346" s="177">
        <v>4.0999999999999996</v>
      </c>
      <c r="AD346" s="177" t="s">
        <v>119</v>
      </c>
      <c r="AE346" s="177" t="s">
        <v>2419</v>
      </c>
      <c r="AF346" s="177">
        <v>0</v>
      </c>
      <c r="AG346" s="177">
        <v>24129</v>
      </c>
      <c r="AH346" s="177" t="s">
        <v>121</v>
      </c>
      <c r="AI346" s="177" t="b">
        <v>1</v>
      </c>
      <c r="AJ346" s="180">
        <v>45642</v>
      </c>
      <c r="AK346" s="177" t="s">
        <v>122</v>
      </c>
      <c r="AL346" s="177">
        <v>2024</v>
      </c>
      <c r="AM346" s="177" t="s">
        <v>109</v>
      </c>
      <c r="AN346" s="177" t="b">
        <v>0</v>
      </c>
      <c r="AO346" s="177" t="s">
        <v>109</v>
      </c>
      <c r="AP346" s="177" t="s">
        <v>109</v>
      </c>
      <c r="AQ346" s="177" t="s">
        <v>109</v>
      </c>
      <c r="AR346" s="177" t="b">
        <v>0</v>
      </c>
      <c r="AS346" s="177" t="s">
        <v>123</v>
      </c>
      <c r="AT346" s="180" t="s">
        <v>123</v>
      </c>
      <c r="AU346" s="177" t="s">
        <v>124</v>
      </c>
      <c r="AV346" s="177" t="s">
        <v>109</v>
      </c>
      <c r="AW346" s="177" t="s">
        <v>109</v>
      </c>
      <c r="AX346" s="177" t="s">
        <v>109</v>
      </c>
      <c r="AY346" s="177" t="s">
        <v>135</v>
      </c>
      <c r="AZ346" s="177" t="s">
        <v>109</v>
      </c>
      <c r="BA346" s="177" t="s">
        <v>125</v>
      </c>
      <c r="BB346" s="177" t="s">
        <v>109</v>
      </c>
      <c r="BC346" s="177" t="s">
        <v>296</v>
      </c>
      <c r="BD346" s="177" t="s">
        <v>109</v>
      </c>
      <c r="BE346" s="180" t="s">
        <v>109</v>
      </c>
      <c r="BF346" s="180" t="s">
        <v>891</v>
      </c>
      <c r="BG346" s="180">
        <v>46386</v>
      </c>
      <c r="BH346" s="177" t="s">
        <v>109</v>
      </c>
      <c r="BI346" s="177" t="s">
        <v>109</v>
      </c>
      <c r="BJ346" s="177" t="b">
        <v>0</v>
      </c>
      <c r="BK346" s="233">
        <v>31289.713759999999</v>
      </c>
      <c r="BL346" s="234" t="s">
        <v>128</v>
      </c>
      <c r="BM346" s="233">
        <f>115561.298619311-BM347</f>
        <v>78979.491778762094</v>
      </c>
      <c r="BN346" s="235">
        <f>0-BN347</f>
        <v>0</v>
      </c>
      <c r="BO346" s="235">
        <f>0-BO347</f>
        <v>0</v>
      </c>
      <c r="BP346" s="235">
        <f>0-BP347</f>
        <v>0</v>
      </c>
      <c r="BQ346" s="235">
        <f>0-BQ347</f>
        <v>0</v>
      </c>
      <c r="BR346" s="235">
        <f>23601.41294-BR347</f>
        <v>0</v>
      </c>
      <c r="BS346" s="235">
        <f>10740.60145-BS347</f>
        <v>0</v>
      </c>
      <c r="BT346" s="235">
        <f>13752.0301336-BT347</f>
        <v>11512.2376831</v>
      </c>
      <c r="BU346" s="235">
        <f>12682.9553123-BU347</f>
        <v>12682.955312300001</v>
      </c>
      <c r="BV346" s="235">
        <f>17771.5748237-BV347</f>
        <v>17771.574823700001</v>
      </c>
      <c r="BW346" s="235">
        <f>19398.4174622-BW347</f>
        <v>19398.417462199999</v>
      </c>
      <c r="BX346" s="235">
        <f>17614.3064976-BX347</f>
        <v>17614.306497599999</v>
      </c>
      <c r="BY346" s="234">
        <v>0</v>
      </c>
      <c r="BZ346" s="236" t="s">
        <v>109</v>
      </c>
      <c r="CA346" s="236" t="s">
        <v>109</v>
      </c>
      <c r="CB346" s="236" t="s">
        <v>109</v>
      </c>
      <c r="CC346" s="235">
        <f t="shared" ref="CC346:CH346" si="2">0-CC347</f>
        <v>0</v>
      </c>
      <c r="CD346" s="235">
        <f t="shared" si="2"/>
        <v>0</v>
      </c>
      <c r="CE346" s="235">
        <f t="shared" si="2"/>
        <v>0</v>
      </c>
      <c r="CF346" s="235">
        <f t="shared" si="2"/>
        <v>0</v>
      </c>
      <c r="CG346" s="235">
        <f t="shared" si="2"/>
        <v>0</v>
      </c>
      <c r="CH346" s="235">
        <f t="shared" si="2"/>
        <v>0</v>
      </c>
      <c r="CI346" s="235">
        <f>36581.8068405-CI347</f>
        <v>0</v>
      </c>
      <c r="CJ346" s="237">
        <v>0</v>
      </c>
      <c r="CK346" s="177" t="s">
        <v>128</v>
      </c>
      <c r="CL346" s="177">
        <v>37.4</v>
      </c>
      <c r="CM346" s="155" t="s">
        <v>109</v>
      </c>
      <c r="CN346" s="229">
        <v>0.13550000000000001</v>
      </c>
      <c r="CO346" s="229">
        <v>0.86450000000000005</v>
      </c>
      <c r="CP346" t="s">
        <v>155</v>
      </c>
      <c r="CR346" s="248"/>
    </row>
    <row r="347" spans="1:96" ht="14.4" x14ac:dyDescent="0.3">
      <c r="A347">
        <v>344</v>
      </c>
      <c r="B347" s="173" t="s">
        <v>2420</v>
      </c>
      <c r="C347" s="259"/>
      <c r="D347" s="260"/>
      <c r="E347" t="s">
        <v>191</v>
      </c>
      <c r="F347" t="s">
        <v>2418</v>
      </c>
      <c r="G347" s="177" t="s">
        <v>886</v>
      </c>
      <c r="H347" s="177" t="s">
        <v>113</v>
      </c>
      <c r="I347" s="177" t="s">
        <v>109</v>
      </c>
      <c r="J347" s="177" t="s">
        <v>109</v>
      </c>
      <c r="K347" s="177" t="s">
        <v>114</v>
      </c>
      <c r="L347" s="177" t="s">
        <v>1453</v>
      </c>
      <c r="M347" s="177" t="s">
        <v>109</v>
      </c>
      <c r="N347" s="177" t="s">
        <v>109</v>
      </c>
      <c r="O347" s="180" t="s">
        <v>2421</v>
      </c>
      <c r="P347" s="177" t="s">
        <v>109</v>
      </c>
      <c r="Q347" s="177" t="s">
        <v>109</v>
      </c>
      <c r="R347" s="177" t="s">
        <v>109</v>
      </c>
      <c r="S347" s="177" t="s">
        <v>109</v>
      </c>
      <c r="T347" s="177" t="s">
        <v>116</v>
      </c>
      <c r="U347" s="177" t="s">
        <v>117</v>
      </c>
      <c r="V347" s="177" t="b">
        <v>0</v>
      </c>
      <c r="W347" s="177" t="s">
        <v>109</v>
      </c>
      <c r="X347" s="261"/>
      <c r="Y347" s="177">
        <v>3</v>
      </c>
      <c r="Z347" s="177" t="s">
        <v>118</v>
      </c>
      <c r="AA347" s="177" t="s">
        <v>215</v>
      </c>
      <c r="AB347" s="177" t="s">
        <v>109</v>
      </c>
      <c r="AC347" s="177">
        <v>4.0999999999999996</v>
      </c>
      <c r="AD347" s="177" t="s">
        <v>2422</v>
      </c>
      <c r="AE347" s="177" t="s">
        <v>2419</v>
      </c>
      <c r="AF347" s="177">
        <v>1</v>
      </c>
      <c r="AG347" s="177">
        <v>24129</v>
      </c>
      <c r="AH347" s="177" t="s">
        <v>121</v>
      </c>
      <c r="AI347" s="177" t="b">
        <v>1</v>
      </c>
      <c r="AJ347" s="180">
        <v>45447</v>
      </c>
      <c r="AK347" s="177" t="s">
        <v>122</v>
      </c>
      <c r="AL347" s="177">
        <v>2024</v>
      </c>
      <c r="AM347" s="177" t="s">
        <v>109</v>
      </c>
      <c r="AN347" s="177" t="b">
        <v>0</v>
      </c>
      <c r="AO347" s="177" t="s">
        <v>109</v>
      </c>
      <c r="AP347" s="177" t="s">
        <v>109</v>
      </c>
      <c r="AQ347" s="177" t="s">
        <v>109</v>
      </c>
      <c r="AR347" s="177" t="b">
        <v>0</v>
      </c>
      <c r="AS347" s="177" t="s">
        <v>123</v>
      </c>
      <c r="AT347" s="180" t="s">
        <v>123</v>
      </c>
      <c r="AU347" s="177" t="s">
        <v>124</v>
      </c>
      <c r="AV347" s="177" t="s">
        <v>109</v>
      </c>
      <c r="AW347" s="177" t="s">
        <v>109</v>
      </c>
      <c r="AX347" s="177" t="s">
        <v>109</v>
      </c>
      <c r="AY347" s="177" t="s">
        <v>135</v>
      </c>
      <c r="AZ347" s="177" t="s">
        <v>109</v>
      </c>
      <c r="BA347" s="177" t="s">
        <v>125</v>
      </c>
      <c r="BB347" s="177" t="s">
        <v>109</v>
      </c>
      <c r="BC347" s="177" t="s">
        <v>126</v>
      </c>
      <c r="BD347" s="177" t="s">
        <v>109</v>
      </c>
      <c r="BE347" s="180" t="s">
        <v>2423</v>
      </c>
      <c r="BF347" s="180" t="s">
        <v>127</v>
      </c>
      <c r="BG347" s="180" t="s">
        <v>2424</v>
      </c>
      <c r="BH347" s="177" t="s">
        <v>609</v>
      </c>
      <c r="BI347" s="177" t="s">
        <v>109</v>
      </c>
      <c r="BJ347" s="177" t="b">
        <v>1</v>
      </c>
      <c r="BK347" s="233">
        <v>134697.32191</v>
      </c>
      <c r="BL347" s="234" t="s">
        <v>128</v>
      </c>
      <c r="BM347" s="233">
        <v>36581.806840548903</v>
      </c>
      <c r="BN347" s="233">
        <v>0</v>
      </c>
      <c r="BO347" s="233">
        <v>0</v>
      </c>
      <c r="BP347" s="233">
        <v>0</v>
      </c>
      <c r="BQ347" s="233">
        <v>0</v>
      </c>
      <c r="BR347" s="233">
        <v>23601.412939999998</v>
      </c>
      <c r="BS347" s="233">
        <v>10740.60145</v>
      </c>
      <c r="BT347" s="233">
        <v>2239.7924505000001</v>
      </c>
      <c r="BU347" s="233">
        <v>0</v>
      </c>
      <c r="BV347" s="233">
        <v>0</v>
      </c>
      <c r="BW347" s="233">
        <v>0</v>
      </c>
      <c r="BX347" s="233">
        <v>0</v>
      </c>
      <c r="BY347" s="234">
        <v>34342</v>
      </c>
      <c r="BZ347" s="236" t="s">
        <v>109</v>
      </c>
      <c r="CA347" s="236" t="s">
        <v>109</v>
      </c>
      <c r="CB347" s="233">
        <v>2025</v>
      </c>
      <c r="CC347" s="233">
        <v>0</v>
      </c>
      <c r="CD347" s="233">
        <v>0</v>
      </c>
      <c r="CE347" s="233">
        <v>0</v>
      </c>
      <c r="CF347" s="233">
        <v>0</v>
      </c>
      <c r="CG347" s="233">
        <v>0</v>
      </c>
      <c r="CH347" s="233">
        <v>0</v>
      </c>
      <c r="CI347" s="233">
        <v>36581.806840500001</v>
      </c>
      <c r="CJ347" s="237">
        <v>0</v>
      </c>
      <c r="CK347" s="177" t="s">
        <v>128</v>
      </c>
      <c r="CL347" s="177" t="s">
        <v>128</v>
      </c>
      <c r="CM347" s="155" t="s">
        <v>109</v>
      </c>
      <c r="CN347" s="229">
        <v>0</v>
      </c>
      <c r="CO347" s="229">
        <v>1</v>
      </c>
      <c r="CP347" t="s">
        <v>2425</v>
      </c>
      <c r="CR347" s="248"/>
    </row>
    <row r="348" spans="1:96" ht="14.4" x14ac:dyDescent="0.3">
      <c r="A348">
        <v>345</v>
      </c>
      <c r="B348" s="173" t="s">
        <v>2426</v>
      </c>
      <c r="C348" s="259"/>
      <c r="D348" s="260"/>
      <c r="E348" t="s">
        <v>2427</v>
      </c>
      <c r="F348" t="s">
        <v>2428</v>
      </c>
      <c r="G348" s="177" t="s">
        <v>811</v>
      </c>
      <c r="H348" s="177" t="s">
        <v>113</v>
      </c>
      <c r="I348" s="177" t="s">
        <v>109</v>
      </c>
      <c r="J348" s="177" t="s">
        <v>109</v>
      </c>
      <c r="K348" s="177" t="s">
        <v>2429</v>
      </c>
      <c r="L348" s="177" t="s">
        <v>812</v>
      </c>
      <c r="M348" s="177" t="s">
        <v>706</v>
      </c>
      <c r="N348" s="177" t="s">
        <v>706</v>
      </c>
      <c r="O348" s="180">
        <v>45687</v>
      </c>
      <c r="P348" s="177" t="s">
        <v>689</v>
      </c>
      <c r="Q348" s="177" t="s">
        <v>508</v>
      </c>
      <c r="R348" s="177" t="s">
        <v>509</v>
      </c>
      <c r="S348" s="177" t="s">
        <v>2430</v>
      </c>
      <c r="T348" s="177" t="s">
        <v>109</v>
      </c>
      <c r="U348" s="177" t="s">
        <v>117</v>
      </c>
      <c r="V348" s="177" t="b">
        <v>0</v>
      </c>
      <c r="W348" s="177" t="s">
        <v>109</v>
      </c>
      <c r="X348" s="261"/>
      <c r="Y348" s="177">
        <v>6.3</v>
      </c>
      <c r="Z348" s="177" t="s">
        <v>109</v>
      </c>
      <c r="AA348" s="177" t="s">
        <v>373</v>
      </c>
      <c r="AB348" s="177" t="s">
        <v>109</v>
      </c>
      <c r="AC348" s="177">
        <v>2.1</v>
      </c>
      <c r="AD348" s="177" t="s">
        <v>2431</v>
      </c>
      <c r="AE348" s="177" t="s">
        <v>2432</v>
      </c>
      <c r="AF348" s="177">
        <v>1</v>
      </c>
      <c r="AG348" s="177">
        <v>24130</v>
      </c>
      <c r="AH348" s="177" t="s">
        <v>121</v>
      </c>
      <c r="AI348" s="177" t="b">
        <v>0</v>
      </c>
      <c r="AJ348" s="180" t="s">
        <v>109</v>
      </c>
      <c r="AK348" s="177" t="s">
        <v>122</v>
      </c>
      <c r="AL348" s="177">
        <v>2024</v>
      </c>
      <c r="AM348" s="177">
        <v>2023</v>
      </c>
      <c r="AN348" s="177" t="b">
        <v>0</v>
      </c>
      <c r="AO348" s="177" t="s">
        <v>1209</v>
      </c>
      <c r="AP348" s="177">
        <v>2023</v>
      </c>
      <c r="AQ348" s="177" t="s">
        <v>2336</v>
      </c>
      <c r="AR348" s="177" t="b">
        <v>0</v>
      </c>
      <c r="AS348" s="177" t="s">
        <v>109</v>
      </c>
      <c r="AT348" s="180" t="s">
        <v>118</v>
      </c>
      <c r="AU348" s="177" t="s">
        <v>109</v>
      </c>
      <c r="AV348" s="177" t="s">
        <v>109</v>
      </c>
      <c r="AW348" s="177" t="s">
        <v>109</v>
      </c>
      <c r="AX348" s="177" t="s">
        <v>109</v>
      </c>
      <c r="AY348" s="177" t="s">
        <v>123</v>
      </c>
      <c r="AZ348" s="177" t="s">
        <v>2433</v>
      </c>
      <c r="BA348" s="177" t="s">
        <v>125</v>
      </c>
      <c r="BB348" s="177">
        <v>2030</v>
      </c>
      <c r="BC348" s="177" t="s">
        <v>296</v>
      </c>
      <c r="BD348" s="177" t="s">
        <v>109</v>
      </c>
      <c r="BE348" s="180" t="s">
        <v>2434</v>
      </c>
      <c r="BF348" s="180" t="s">
        <v>2403</v>
      </c>
      <c r="BG348" s="180" t="s">
        <v>2403</v>
      </c>
      <c r="BH348" s="177" t="s">
        <v>109</v>
      </c>
      <c r="BI348" s="177" t="s">
        <v>109</v>
      </c>
      <c r="BJ348" s="177" t="b">
        <v>0</v>
      </c>
      <c r="BK348" s="233">
        <v>2000</v>
      </c>
      <c r="BL348" s="234" t="s">
        <v>128</v>
      </c>
      <c r="BM348" s="233">
        <v>27394.879302282199</v>
      </c>
      <c r="BN348" s="233">
        <v>0</v>
      </c>
      <c r="BO348" s="233">
        <v>0</v>
      </c>
      <c r="BP348" s="233">
        <v>0</v>
      </c>
      <c r="BQ348" s="233">
        <v>0</v>
      </c>
      <c r="BR348" s="233">
        <v>55.519240000000003</v>
      </c>
      <c r="BS348" s="233">
        <v>85.882739999999998</v>
      </c>
      <c r="BT348" s="233">
        <v>283.82896199999999</v>
      </c>
      <c r="BU348" s="233">
        <v>597.26441699999998</v>
      </c>
      <c r="BV348" s="233">
        <v>652.44380660000002</v>
      </c>
      <c r="BW348" s="233">
        <v>712.72104720000004</v>
      </c>
      <c r="BX348" s="233">
        <v>778.56711329999996</v>
      </c>
      <c r="BY348" s="234">
        <v>24370.053956182197</v>
      </c>
      <c r="BZ348" s="236" t="s">
        <v>109</v>
      </c>
      <c r="CA348" s="236" t="s">
        <v>109</v>
      </c>
      <c r="CB348" s="236" t="s">
        <v>109</v>
      </c>
      <c r="CC348" s="233">
        <v>0</v>
      </c>
      <c r="CD348" s="233">
        <v>0</v>
      </c>
      <c r="CE348" s="233">
        <v>0</v>
      </c>
      <c r="CF348" s="233">
        <v>0</v>
      </c>
      <c r="CG348" s="233">
        <v>0</v>
      </c>
      <c r="CH348" s="233">
        <v>0</v>
      </c>
      <c r="CI348" s="233">
        <v>0</v>
      </c>
      <c r="CJ348" s="177" t="s">
        <v>128</v>
      </c>
      <c r="CK348" s="177" t="s">
        <v>128</v>
      </c>
      <c r="CL348" s="177">
        <v>0.4</v>
      </c>
      <c r="CM348" s="155" t="s">
        <v>109</v>
      </c>
      <c r="CN348" s="229">
        <v>0</v>
      </c>
      <c r="CO348" s="229">
        <v>1</v>
      </c>
      <c r="CP348" t="s">
        <v>155</v>
      </c>
      <c r="CR348" s="248"/>
    </row>
    <row r="349" spans="1:96" ht="14.4" x14ac:dyDescent="0.3">
      <c r="A349">
        <v>346</v>
      </c>
      <c r="B349" s="173" t="s">
        <v>2435</v>
      </c>
      <c r="C349" s="259"/>
      <c r="D349" s="260"/>
      <c r="E349" t="s">
        <v>2436</v>
      </c>
      <c r="F349" t="s">
        <v>2437</v>
      </c>
      <c r="G349" s="177" t="s">
        <v>811</v>
      </c>
      <c r="H349" s="177" t="s">
        <v>113</v>
      </c>
      <c r="I349" s="177" t="s">
        <v>109</v>
      </c>
      <c r="J349" s="177" t="s">
        <v>109</v>
      </c>
      <c r="K349" s="177" t="s">
        <v>2429</v>
      </c>
      <c r="L349" s="177" t="s">
        <v>812</v>
      </c>
      <c r="M349" s="177" t="s">
        <v>706</v>
      </c>
      <c r="N349" s="177" t="s">
        <v>706</v>
      </c>
      <c r="O349" s="180">
        <v>45708</v>
      </c>
      <c r="P349" s="177" t="s">
        <v>109</v>
      </c>
      <c r="Q349" s="177" t="s">
        <v>508</v>
      </c>
      <c r="R349" s="177" t="s">
        <v>509</v>
      </c>
      <c r="S349" s="177" t="s">
        <v>2430</v>
      </c>
      <c r="T349" s="177" t="s">
        <v>404</v>
      </c>
      <c r="U349" s="177" t="s">
        <v>117</v>
      </c>
      <c r="V349" s="177" t="b">
        <v>0</v>
      </c>
      <c r="W349" s="177" t="s">
        <v>109</v>
      </c>
      <c r="X349" s="261"/>
      <c r="Y349" s="177" t="s">
        <v>2438</v>
      </c>
      <c r="Z349" s="177" t="s">
        <v>109</v>
      </c>
      <c r="AA349" s="177" t="s">
        <v>1313</v>
      </c>
      <c r="AB349" s="177" t="s">
        <v>109</v>
      </c>
      <c r="AC349" s="177">
        <v>2.1</v>
      </c>
      <c r="AD349" s="177" t="s">
        <v>2439</v>
      </c>
      <c r="AE349" s="177" t="s">
        <v>2440</v>
      </c>
      <c r="AF349" s="177">
        <v>1</v>
      </c>
      <c r="AG349" s="177">
        <v>24131</v>
      </c>
      <c r="AH349" s="177" t="s">
        <v>121</v>
      </c>
      <c r="AI349" s="177" t="b">
        <v>0</v>
      </c>
      <c r="AJ349" s="180" t="s">
        <v>109</v>
      </c>
      <c r="AK349" s="177" t="s">
        <v>122</v>
      </c>
      <c r="AL349" s="177">
        <v>2024</v>
      </c>
      <c r="AM349" s="177">
        <v>2023</v>
      </c>
      <c r="AN349" s="177" t="b">
        <v>0</v>
      </c>
      <c r="AO349" s="177" t="s">
        <v>1209</v>
      </c>
      <c r="AP349" s="177">
        <v>2023</v>
      </c>
      <c r="AQ349" s="177" t="s">
        <v>2336</v>
      </c>
      <c r="AR349" s="177" t="b">
        <v>0</v>
      </c>
      <c r="AS349" s="177" t="s">
        <v>123</v>
      </c>
      <c r="AT349" s="180" t="s">
        <v>118</v>
      </c>
      <c r="AU349" s="177" t="s">
        <v>109</v>
      </c>
      <c r="AV349" s="177" t="s">
        <v>109</v>
      </c>
      <c r="AW349" s="177" t="s">
        <v>109</v>
      </c>
      <c r="AX349" s="177" t="s">
        <v>109</v>
      </c>
      <c r="AY349" s="177" t="s">
        <v>123</v>
      </c>
      <c r="AZ349" s="177" t="s">
        <v>123</v>
      </c>
      <c r="BA349" s="177" t="s">
        <v>125</v>
      </c>
      <c r="BB349" s="177" t="s">
        <v>123</v>
      </c>
      <c r="BC349" s="177" t="s">
        <v>546</v>
      </c>
      <c r="BD349" s="177" t="s">
        <v>109</v>
      </c>
      <c r="BE349" s="180" t="s">
        <v>123</v>
      </c>
      <c r="BF349" s="180" t="s">
        <v>2403</v>
      </c>
      <c r="BG349" s="180" t="s">
        <v>2403</v>
      </c>
      <c r="BH349" s="177" t="s">
        <v>109</v>
      </c>
      <c r="BI349" s="177" t="s">
        <v>109</v>
      </c>
      <c r="BJ349" s="177" t="b">
        <v>0</v>
      </c>
      <c r="BK349" s="233">
        <v>2000</v>
      </c>
      <c r="BL349" s="234" t="s">
        <v>128</v>
      </c>
      <c r="BM349" s="233">
        <v>59493.571025789701</v>
      </c>
      <c r="BN349" s="233">
        <v>0</v>
      </c>
      <c r="BO349" s="233">
        <v>0</v>
      </c>
      <c r="BP349" s="233">
        <v>0</v>
      </c>
      <c r="BQ349" s="233">
        <v>0</v>
      </c>
      <c r="BR349" s="233">
        <v>79.035390000000007</v>
      </c>
      <c r="BS349" s="233">
        <v>246.35867999999999</v>
      </c>
      <c r="BT349" s="233">
        <v>425.4525921</v>
      </c>
      <c r="BU349" s="233">
        <v>665.22116830000004</v>
      </c>
      <c r="BV349" s="233">
        <v>726.67886940000005</v>
      </c>
      <c r="BW349" s="233">
        <v>793.81445499999995</v>
      </c>
      <c r="BX349" s="233">
        <v>867.1524872</v>
      </c>
      <c r="BY349" s="234">
        <v>56015.2514537897</v>
      </c>
      <c r="BZ349" s="236" t="s">
        <v>109</v>
      </c>
      <c r="CA349" s="236" t="s">
        <v>109</v>
      </c>
      <c r="CB349" s="236" t="s">
        <v>109</v>
      </c>
      <c r="CC349" s="233">
        <v>0</v>
      </c>
      <c r="CD349" s="233">
        <v>0</v>
      </c>
      <c r="CE349" s="233">
        <v>0</v>
      </c>
      <c r="CF349" s="233">
        <v>0</v>
      </c>
      <c r="CG349" s="233">
        <v>0</v>
      </c>
      <c r="CH349" s="233">
        <v>0</v>
      </c>
      <c r="CI349" s="233">
        <v>0</v>
      </c>
      <c r="CJ349" s="177" t="s">
        <v>128</v>
      </c>
      <c r="CK349" s="177" t="s">
        <v>128</v>
      </c>
      <c r="CL349" s="177">
        <v>0.8</v>
      </c>
      <c r="CM349" s="155" t="s">
        <v>109</v>
      </c>
      <c r="CN349" s="229">
        <v>0</v>
      </c>
      <c r="CO349" s="229">
        <v>1</v>
      </c>
      <c r="CP349" t="s">
        <v>2381</v>
      </c>
      <c r="CR349" s="248"/>
    </row>
    <row r="350" spans="1:96" ht="14.4" x14ac:dyDescent="0.3">
      <c r="A350">
        <v>347</v>
      </c>
      <c r="B350" s="173" t="s">
        <v>2441</v>
      </c>
      <c r="C350" s="259"/>
      <c r="D350" s="260"/>
      <c r="E350" t="s">
        <v>410</v>
      </c>
      <c r="F350" t="s">
        <v>2442</v>
      </c>
      <c r="G350" s="177" t="s">
        <v>145</v>
      </c>
      <c r="H350" s="177" t="s">
        <v>112</v>
      </c>
      <c r="I350" s="177" t="s">
        <v>109</v>
      </c>
      <c r="J350" s="177" t="s">
        <v>109</v>
      </c>
      <c r="K350" s="177" t="s">
        <v>485</v>
      </c>
      <c r="L350" s="177" t="s">
        <v>504</v>
      </c>
      <c r="M350" s="177" t="s">
        <v>109</v>
      </c>
      <c r="N350" s="177" t="s">
        <v>109</v>
      </c>
      <c r="O350" s="180">
        <v>45791</v>
      </c>
      <c r="P350" s="177" t="s">
        <v>109</v>
      </c>
      <c r="Q350" s="177" t="s">
        <v>109</v>
      </c>
      <c r="R350" s="177" t="s">
        <v>109</v>
      </c>
      <c r="S350" s="177" t="s">
        <v>109</v>
      </c>
      <c r="T350" s="177" t="s">
        <v>116</v>
      </c>
      <c r="U350" s="177" t="s">
        <v>117</v>
      </c>
      <c r="V350" s="177" t="b">
        <v>0</v>
      </c>
      <c r="W350" s="177" t="s">
        <v>109</v>
      </c>
      <c r="X350" s="261"/>
      <c r="Y350" s="177" t="s">
        <v>109</v>
      </c>
      <c r="Z350" s="177">
        <v>1.04</v>
      </c>
      <c r="AA350" s="177" t="s">
        <v>1266</v>
      </c>
      <c r="AB350" s="177" t="s">
        <v>1267</v>
      </c>
      <c r="AC350" s="177">
        <v>4.0999999999999996</v>
      </c>
      <c r="AD350" s="177" t="s">
        <v>2443</v>
      </c>
      <c r="AE350" s="177" t="s">
        <v>2444</v>
      </c>
      <c r="AF350" s="177">
        <v>1</v>
      </c>
      <c r="AG350" s="177">
        <v>24132</v>
      </c>
      <c r="AH350" s="177" t="s">
        <v>121</v>
      </c>
      <c r="AI350" s="177" t="b">
        <v>1</v>
      </c>
      <c r="AJ350" s="180">
        <v>45460</v>
      </c>
      <c r="AK350" s="177" t="s">
        <v>122</v>
      </c>
      <c r="AL350" s="177">
        <v>2024</v>
      </c>
      <c r="AM350" s="177" t="s">
        <v>109</v>
      </c>
      <c r="AN350" s="177" t="b">
        <v>0</v>
      </c>
      <c r="AO350" s="177" t="s">
        <v>109</v>
      </c>
      <c r="AP350" s="177" t="s">
        <v>109</v>
      </c>
      <c r="AQ350" s="177" t="s">
        <v>109</v>
      </c>
      <c r="AR350" s="177" t="b">
        <v>0</v>
      </c>
      <c r="AS350" s="177" t="s">
        <v>109</v>
      </c>
      <c r="AT350" s="180" t="s">
        <v>118</v>
      </c>
      <c r="AU350" s="177" t="s">
        <v>109</v>
      </c>
      <c r="AV350" s="177" t="s">
        <v>109</v>
      </c>
      <c r="AW350" s="177" t="s">
        <v>109</v>
      </c>
      <c r="AX350" s="177" t="s">
        <v>109</v>
      </c>
      <c r="AY350" s="177" t="s">
        <v>123</v>
      </c>
      <c r="AZ350" s="177" t="s">
        <v>123</v>
      </c>
      <c r="BA350" s="177" t="s">
        <v>125</v>
      </c>
      <c r="BB350" s="177" t="s">
        <v>123</v>
      </c>
      <c r="BC350" s="177" t="s">
        <v>296</v>
      </c>
      <c r="BD350" s="177" t="s">
        <v>109</v>
      </c>
      <c r="BE350" s="180" t="s">
        <v>109</v>
      </c>
      <c r="BF350" s="180" t="s">
        <v>2341</v>
      </c>
      <c r="BG350" s="180" t="s">
        <v>109</v>
      </c>
      <c r="BH350" s="177" t="s">
        <v>109</v>
      </c>
      <c r="BI350" s="177" t="s">
        <v>109</v>
      </c>
      <c r="BJ350" s="177" t="b">
        <v>0</v>
      </c>
      <c r="BK350" s="233">
        <v>2003.252</v>
      </c>
      <c r="BL350" s="234" t="s">
        <v>128</v>
      </c>
      <c r="BM350" s="233">
        <v>85739.414793457399</v>
      </c>
      <c r="BN350" s="233">
        <v>0</v>
      </c>
      <c r="BO350" s="233">
        <v>0</v>
      </c>
      <c r="BP350" s="233">
        <v>0</v>
      </c>
      <c r="BQ350" s="233">
        <v>0</v>
      </c>
      <c r="BR350" s="233">
        <v>98.394778000000002</v>
      </c>
      <c r="BS350" s="233">
        <v>65.584980000000002</v>
      </c>
      <c r="BT350" s="233">
        <v>1557.6538496000001</v>
      </c>
      <c r="BU350" s="233">
        <v>10366.6587256</v>
      </c>
      <c r="BV350" s="233">
        <v>10892.0641197</v>
      </c>
      <c r="BW350" s="233">
        <v>11898.9630758</v>
      </c>
      <c r="BX350" s="233">
        <v>12851.643484300001</v>
      </c>
      <c r="BY350" s="234">
        <v>38172.4315384574</v>
      </c>
      <c r="BZ350" s="236" t="s">
        <v>109</v>
      </c>
      <c r="CA350" s="236" t="s">
        <v>109</v>
      </c>
      <c r="CB350" s="236" t="s">
        <v>109</v>
      </c>
      <c r="CC350" s="233">
        <v>0</v>
      </c>
      <c r="CD350" s="233">
        <v>0</v>
      </c>
      <c r="CE350" s="233">
        <v>0</v>
      </c>
      <c r="CF350" s="233">
        <v>0</v>
      </c>
      <c r="CG350" s="233">
        <v>0</v>
      </c>
      <c r="CH350" s="233">
        <v>0</v>
      </c>
      <c r="CI350" s="233">
        <v>0</v>
      </c>
      <c r="CJ350" s="177" t="s">
        <v>128</v>
      </c>
      <c r="CK350" s="177" t="s">
        <v>128</v>
      </c>
      <c r="CL350" s="177" t="s">
        <v>128</v>
      </c>
      <c r="CM350" s="155" t="s">
        <v>109</v>
      </c>
      <c r="CN350" s="229">
        <v>0</v>
      </c>
      <c r="CO350" s="229">
        <v>1</v>
      </c>
      <c r="CP350" t="s">
        <v>2381</v>
      </c>
      <c r="CR350" s="248"/>
    </row>
    <row r="351" spans="1:96" ht="14.4" x14ac:dyDescent="0.3">
      <c r="A351">
        <v>348</v>
      </c>
      <c r="B351" s="173" t="s">
        <v>2445</v>
      </c>
      <c r="C351" s="259"/>
      <c r="D351" s="260"/>
      <c r="E351" t="s">
        <v>483</v>
      </c>
      <c r="F351" t="s">
        <v>2446</v>
      </c>
      <c r="G351" s="177" t="s">
        <v>111</v>
      </c>
      <c r="H351" s="177" t="s">
        <v>112</v>
      </c>
      <c r="I351" s="177" t="s">
        <v>112</v>
      </c>
      <c r="J351" s="177" t="s">
        <v>109</v>
      </c>
      <c r="K351" s="177" t="s">
        <v>192</v>
      </c>
      <c r="L351" s="177" t="s">
        <v>193</v>
      </c>
      <c r="M351" s="177" t="s">
        <v>194</v>
      </c>
      <c r="N351" s="177" t="s">
        <v>194</v>
      </c>
      <c r="O351" s="180">
        <v>45758</v>
      </c>
      <c r="P351" s="177" t="s">
        <v>109</v>
      </c>
      <c r="Q351" s="177" t="s">
        <v>109</v>
      </c>
      <c r="R351" s="177" t="s">
        <v>109</v>
      </c>
      <c r="S351" s="177" t="s">
        <v>109</v>
      </c>
      <c r="T351" s="177" t="s">
        <v>116</v>
      </c>
      <c r="U351" s="177" t="s">
        <v>117</v>
      </c>
      <c r="V351" s="177" t="b">
        <v>0</v>
      </c>
      <c r="W351" s="177" t="s">
        <v>109</v>
      </c>
      <c r="X351" s="261"/>
      <c r="Y351" s="177" t="s">
        <v>109</v>
      </c>
      <c r="Z351" s="176">
        <v>0.22</v>
      </c>
      <c r="AA351" s="177" t="s">
        <v>109</v>
      </c>
      <c r="AB351" s="177" t="s">
        <v>109</v>
      </c>
      <c r="AC351" s="177">
        <v>2.1</v>
      </c>
      <c r="AD351" s="177" t="s">
        <v>2447</v>
      </c>
      <c r="AE351" s="177" t="s">
        <v>2448</v>
      </c>
      <c r="AF351" s="177">
        <v>1</v>
      </c>
      <c r="AG351" s="177">
        <v>24133</v>
      </c>
      <c r="AH351" s="177" t="s">
        <v>121</v>
      </c>
      <c r="AI351" s="177" t="b">
        <v>1</v>
      </c>
      <c r="AJ351" s="180">
        <v>45534</v>
      </c>
      <c r="AK351" s="177" t="s">
        <v>122</v>
      </c>
      <c r="AL351" s="177">
        <v>2025</v>
      </c>
      <c r="AM351" s="177" t="s">
        <v>109</v>
      </c>
      <c r="AN351" s="179" t="b">
        <v>0</v>
      </c>
      <c r="AO351" s="177" t="s">
        <v>109</v>
      </c>
      <c r="AP351" s="177" t="s">
        <v>109</v>
      </c>
      <c r="AQ351" s="177" t="s">
        <v>109</v>
      </c>
      <c r="AR351" s="177" t="s">
        <v>984</v>
      </c>
      <c r="AS351" s="177" t="s">
        <v>123</v>
      </c>
      <c r="AT351" s="180" t="s">
        <v>109</v>
      </c>
      <c r="AU351" s="177" t="s">
        <v>124</v>
      </c>
      <c r="AV351" s="177" t="s">
        <v>109</v>
      </c>
      <c r="AW351" s="177" t="s">
        <v>195</v>
      </c>
      <c r="AX351" s="177" t="s">
        <v>109</v>
      </c>
      <c r="AY351" s="177" t="s">
        <v>492</v>
      </c>
      <c r="AZ351" s="177" t="s">
        <v>109</v>
      </c>
      <c r="BA351" s="177" t="s">
        <v>125</v>
      </c>
      <c r="BB351" s="177" t="s">
        <v>109</v>
      </c>
      <c r="BC351" s="177" t="s">
        <v>296</v>
      </c>
      <c r="BD351" s="177" t="s">
        <v>109</v>
      </c>
      <c r="BE351" s="180" t="s">
        <v>109</v>
      </c>
      <c r="BF351" s="180" t="s">
        <v>109</v>
      </c>
      <c r="BG351" s="180" t="s">
        <v>1558</v>
      </c>
      <c r="BH351" s="177" t="s">
        <v>326</v>
      </c>
      <c r="BI351" s="177" t="s">
        <v>699</v>
      </c>
      <c r="BJ351" s="177" t="b">
        <v>0</v>
      </c>
      <c r="BK351" s="235">
        <f>21121.79021</f>
        <v>21121.790209999999</v>
      </c>
      <c r="BL351" s="234" t="s">
        <v>128</v>
      </c>
      <c r="BM351" s="236">
        <v>77790.467711053396</v>
      </c>
      <c r="BN351" s="236">
        <v>0</v>
      </c>
      <c r="BO351" s="236">
        <v>0</v>
      </c>
      <c r="BP351" s="236">
        <v>0</v>
      </c>
      <c r="BQ351" s="236">
        <v>0</v>
      </c>
      <c r="BR351" s="236">
        <v>113.67404999999999</v>
      </c>
      <c r="BS351" s="236">
        <v>39.471629999999998</v>
      </c>
      <c r="BT351" s="236">
        <v>461.59423240000001</v>
      </c>
      <c r="BU351" s="236">
        <v>7923.1805487000001</v>
      </c>
      <c r="BV351" s="236">
        <v>30792.0433491</v>
      </c>
      <c r="BW351" s="236">
        <v>30735.937650200001</v>
      </c>
      <c r="BX351" s="236">
        <v>7053.1722986000004</v>
      </c>
      <c r="BY351" s="234">
        <v>824.53963205340403</v>
      </c>
      <c r="BZ351" s="236" t="s">
        <v>109</v>
      </c>
      <c r="CA351" s="236" t="s">
        <v>109</v>
      </c>
      <c r="CB351" s="236" t="s">
        <v>109</v>
      </c>
      <c r="CC351" s="236">
        <v>0</v>
      </c>
      <c r="CD351" s="236">
        <v>0</v>
      </c>
      <c r="CE351" s="236">
        <v>0</v>
      </c>
      <c r="CF351" s="236">
        <v>0</v>
      </c>
      <c r="CG351" s="236">
        <v>0</v>
      </c>
      <c r="CH351" s="236">
        <v>0</v>
      </c>
      <c r="CI351" s="236">
        <v>0</v>
      </c>
      <c r="CJ351" s="237">
        <v>0</v>
      </c>
      <c r="CK351" s="237">
        <v>0</v>
      </c>
      <c r="CL351" s="177" t="s">
        <v>128</v>
      </c>
      <c r="CM351" s="155" t="s">
        <v>109</v>
      </c>
      <c r="CN351" s="229">
        <v>0</v>
      </c>
      <c r="CO351" s="229">
        <v>0</v>
      </c>
      <c r="CP351" t="s">
        <v>155</v>
      </c>
      <c r="CR351" s="248"/>
    </row>
    <row r="352" spans="1:96" ht="14.4" x14ac:dyDescent="0.3">
      <c r="A352">
        <v>349</v>
      </c>
      <c r="B352" s="173" t="s">
        <v>2449</v>
      </c>
      <c r="C352" s="259"/>
      <c r="D352" s="260"/>
      <c r="E352" t="s">
        <v>410</v>
      </c>
      <c r="F352" t="s">
        <v>2450</v>
      </c>
      <c r="G352" s="177" t="s">
        <v>111</v>
      </c>
      <c r="H352" s="177" t="s">
        <v>112</v>
      </c>
      <c r="I352" s="177" t="s">
        <v>113</v>
      </c>
      <c r="J352" s="177" t="s">
        <v>109</v>
      </c>
      <c r="K352" s="177" t="s">
        <v>485</v>
      </c>
      <c r="L352" s="177" t="s">
        <v>486</v>
      </c>
      <c r="M352" s="177" t="s">
        <v>194</v>
      </c>
      <c r="N352" s="177" t="s">
        <v>194</v>
      </c>
      <c r="O352" s="180">
        <v>45783</v>
      </c>
      <c r="P352" s="177" t="s">
        <v>109</v>
      </c>
      <c r="Q352" s="177" t="s">
        <v>109</v>
      </c>
      <c r="R352" s="177" t="s">
        <v>109</v>
      </c>
      <c r="S352" s="177" t="s">
        <v>109</v>
      </c>
      <c r="T352" s="177" t="s">
        <v>200</v>
      </c>
      <c r="U352" s="177" t="s">
        <v>117</v>
      </c>
      <c r="V352" s="177" t="b">
        <v>0</v>
      </c>
      <c r="W352" s="177" t="s">
        <v>109</v>
      </c>
      <c r="X352" s="261"/>
      <c r="Y352" s="177" t="s">
        <v>109</v>
      </c>
      <c r="Z352" s="177" t="s">
        <v>109</v>
      </c>
      <c r="AA352" s="177" t="s">
        <v>373</v>
      </c>
      <c r="AB352" s="177" t="s">
        <v>2451</v>
      </c>
      <c r="AC352" s="177">
        <v>4.2</v>
      </c>
      <c r="AD352" s="177" t="s">
        <v>2452</v>
      </c>
      <c r="AE352" s="177" t="s">
        <v>2453</v>
      </c>
      <c r="AF352" s="177">
        <v>1</v>
      </c>
      <c r="AG352" s="177">
        <v>24134</v>
      </c>
      <c r="AH352" s="177" t="s">
        <v>121</v>
      </c>
      <c r="AI352" s="177" t="b">
        <v>1</v>
      </c>
      <c r="AJ352" s="180">
        <v>45547</v>
      </c>
      <c r="AK352" s="177" t="s">
        <v>122</v>
      </c>
      <c r="AL352" s="177">
        <v>2025</v>
      </c>
      <c r="AM352" s="177" t="s">
        <v>109</v>
      </c>
      <c r="AN352" s="179" t="b">
        <v>0</v>
      </c>
      <c r="AO352" s="177" t="s">
        <v>109</v>
      </c>
      <c r="AP352" s="177" t="s">
        <v>109</v>
      </c>
      <c r="AQ352" s="177" t="s">
        <v>109</v>
      </c>
      <c r="AR352" s="177" t="b">
        <v>0</v>
      </c>
      <c r="AS352" s="177" t="s">
        <v>123</v>
      </c>
      <c r="AT352" s="180" t="s">
        <v>109</v>
      </c>
      <c r="AU352" s="177" t="s">
        <v>124</v>
      </c>
      <c r="AV352" s="177" t="s">
        <v>109</v>
      </c>
      <c r="AW352" s="177" t="s">
        <v>195</v>
      </c>
      <c r="AX352" s="177" t="s">
        <v>109</v>
      </c>
      <c r="AY352" s="177" t="s">
        <v>492</v>
      </c>
      <c r="AZ352" s="177" t="s">
        <v>109</v>
      </c>
      <c r="BA352" s="177" t="s">
        <v>125</v>
      </c>
      <c r="BB352" s="177" t="s">
        <v>109</v>
      </c>
      <c r="BC352" s="177" t="s">
        <v>296</v>
      </c>
      <c r="BD352" s="177" t="s">
        <v>109</v>
      </c>
      <c r="BE352" s="180" t="s">
        <v>109</v>
      </c>
      <c r="BF352" s="180" t="s">
        <v>2454</v>
      </c>
      <c r="BG352" s="180" t="s">
        <v>1558</v>
      </c>
      <c r="BH352" s="177" t="s">
        <v>109</v>
      </c>
      <c r="BI352" s="177" t="s">
        <v>109</v>
      </c>
      <c r="BJ352" s="177" t="b">
        <v>0</v>
      </c>
      <c r="BK352" s="235">
        <f>1932.75649</f>
        <v>1932.75649</v>
      </c>
      <c r="BL352" s="234" t="s">
        <v>128</v>
      </c>
      <c r="BM352" s="236">
        <v>88640.027678336104</v>
      </c>
      <c r="BN352" s="236">
        <v>0</v>
      </c>
      <c r="BO352" s="236">
        <v>0</v>
      </c>
      <c r="BP352" s="236">
        <v>0</v>
      </c>
      <c r="BQ352" s="236">
        <v>0</v>
      </c>
      <c r="BR352" s="236">
        <v>23.444604000000002</v>
      </c>
      <c r="BS352" s="236">
        <v>35.330463999999999</v>
      </c>
      <c r="BT352" s="236">
        <v>185.85547159999999</v>
      </c>
      <c r="BU352" s="236">
        <v>267.77804479999998</v>
      </c>
      <c r="BV352" s="236">
        <v>292.5323267</v>
      </c>
      <c r="BW352" s="236">
        <v>319.57501409999998</v>
      </c>
      <c r="BX352" s="236">
        <v>349.11766210000002</v>
      </c>
      <c r="BY352" s="234">
        <v>87225.169159036101</v>
      </c>
      <c r="BZ352" s="236" t="s">
        <v>109</v>
      </c>
      <c r="CA352" s="236" t="s">
        <v>109</v>
      </c>
      <c r="CB352" s="236" t="s">
        <v>109</v>
      </c>
      <c r="CC352" s="236">
        <v>0</v>
      </c>
      <c r="CD352" s="236">
        <v>0</v>
      </c>
      <c r="CE352" s="236">
        <v>0</v>
      </c>
      <c r="CF352" s="236">
        <v>0</v>
      </c>
      <c r="CG352" s="236">
        <v>0</v>
      </c>
      <c r="CH352" s="236">
        <v>0</v>
      </c>
      <c r="CI352" s="236">
        <v>0</v>
      </c>
      <c r="CJ352" s="177" t="s">
        <v>128</v>
      </c>
      <c r="CK352" s="177" t="s">
        <v>128</v>
      </c>
      <c r="CL352" s="177" t="s">
        <v>128</v>
      </c>
      <c r="CM352" s="155" t="s">
        <v>109</v>
      </c>
      <c r="CN352" s="229">
        <v>0</v>
      </c>
      <c r="CO352" s="229">
        <v>1</v>
      </c>
      <c r="CP352" t="s">
        <v>155</v>
      </c>
      <c r="CR352" s="248"/>
    </row>
    <row r="353" spans="1:96" ht="14.4" x14ac:dyDescent="0.3">
      <c r="A353">
        <v>350</v>
      </c>
      <c r="B353" s="173" t="s">
        <v>2455</v>
      </c>
      <c r="C353" s="259"/>
      <c r="D353" s="260"/>
      <c r="E353" t="s">
        <v>410</v>
      </c>
      <c r="F353" t="s">
        <v>2456</v>
      </c>
      <c r="G353" s="177" t="s">
        <v>111</v>
      </c>
      <c r="H353" s="177" t="s">
        <v>112</v>
      </c>
      <c r="I353" s="177" t="s">
        <v>112</v>
      </c>
      <c r="J353" s="177" t="s">
        <v>109</v>
      </c>
      <c r="K353" s="177" t="s">
        <v>485</v>
      </c>
      <c r="L353" s="177" t="s">
        <v>504</v>
      </c>
      <c r="M353" s="177" t="s">
        <v>109</v>
      </c>
      <c r="N353" s="177" t="s">
        <v>109</v>
      </c>
      <c r="O353" s="180">
        <v>45778</v>
      </c>
      <c r="P353" s="177" t="s">
        <v>109</v>
      </c>
      <c r="Q353" s="177" t="s">
        <v>109</v>
      </c>
      <c r="R353" s="177" t="s">
        <v>109</v>
      </c>
      <c r="S353" s="177" t="s">
        <v>109</v>
      </c>
      <c r="T353" s="177" t="s">
        <v>116</v>
      </c>
      <c r="U353" s="177" t="s">
        <v>117</v>
      </c>
      <c r="V353" s="177" t="b">
        <v>0</v>
      </c>
      <c r="W353" s="177" t="s">
        <v>109</v>
      </c>
      <c r="X353" s="261"/>
      <c r="Y353" s="177" t="s">
        <v>109</v>
      </c>
      <c r="Z353" s="176">
        <v>0.35</v>
      </c>
      <c r="AA353" s="177" t="s">
        <v>109</v>
      </c>
      <c r="AB353" s="177" t="s">
        <v>2457</v>
      </c>
      <c r="AC353" s="177">
        <v>4.2</v>
      </c>
      <c r="AD353" s="177" t="s">
        <v>123</v>
      </c>
      <c r="AE353" s="177" t="s">
        <v>2458</v>
      </c>
      <c r="AF353" s="177">
        <v>1</v>
      </c>
      <c r="AG353" s="177">
        <v>24135</v>
      </c>
      <c r="AH353" s="177" t="s">
        <v>121</v>
      </c>
      <c r="AI353" s="177" t="b">
        <v>1</v>
      </c>
      <c r="AJ353" s="180">
        <v>45565</v>
      </c>
      <c r="AK353" s="177" t="s">
        <v>122</v>
      </c>
      <c r="AL353" s="177">
        <v>2025</v>
      </c>
      <c r="AM353" s="177" t="s">
        <v>109</v>
      </c>
      <c r="AN353" s="179" t="b">
        <v>0</v>
      </c>
      <c r="AO353" s="177" t="s">
        <v>109</v>
      </c>
      <c r="AP353" s="177" t="s">
        <v>109</v>
      </c>
      <c r="AQ353" s="177" t="s">
        <v>109</v>
      </c>
      <c r="AR353" s="177" t="b">
        <v>0</v>
      </c>
      <c r="AS353" s="177" t="s">
        <v>123</v>
      </c>
      <c r="AT353" s="180" t="s">
        <v>109</v>
      </c>
      <c r="AU353" s="177" t="s">
        <v>124</v>
      </c>
      <c r="AV353" s="177" t="s">
        <v>109</v>
      </c>
      <c r="AW353" s="177" t="s">
        <v>195</v>
      </c>
      <c r="AX353" s="177" t="s">
        <v>109</v>
      </c>
      <c r="AY353" s="177" t="s">
        <v>123</v>
      </c>
      <c r="AZ353" s="177" t="s">
        <v>2459</v>
      </c>
      <c r="BA353" s="177" t="s">
        <v>125</v>
      </c>
      <c r="BB353" s="177" t="s">
        <v>109</v>
      </c>
      <c r="BC353" s="177" t="s">
        <v>296</v>
      </c>
      <c r="BD353" s="177" t="s">
        <v>109</v>
      </c>
      <c r="BE353" s="180" t="s">
        <v>109</v>
      </c>
      <c r="BF353" s="180" t="s">
        <v>109</v>
      </c>
      <c r="BG353" s="180" t="s">
        <v>123</v>
      </c>
      <c r="BH353" s="177" t="s">
        <v>109</v>
      </c>
      <c r="BI353" s="177" t="s">
        <v>109</v>
      </c>
      <c r="BJ353" s="177" t="b">
        <v>0</v>
      </c>
      <c r="BK353" s="235">
        <f>1932.75649</f>
        <v>1932.75649</v>
      </c>
      <c r="BL353" s="234" t="s">
        <v>128</v>
      </c>
      <c r="BM353" s="236">
        <v>245468.39037899801</v>
      </c>
      <c r="BN353" s="236">
        <v>0</v>
      </c>
      <c r="BO353" s="236">
        <v>0</v>
      </c>
      <c r="BP353" s="236">
        <v>0</v>
      </c>
      <c r="BQ353" s="236">
        <v>0</v>
      </c>
      <c r="BR353" s="236">
        <v>26.257853999999998</v>
      </c>
      <c r="BS353" s="236">
        <v>52.076695999999998</v>
      </c>
      <c r="BT353" s="236">
        <v>419.65865739999998</v>
      </c>
      <c r="BU353" s="236">
        <v>35515.807388399997</v>
      </c>
      <c r="BV353" s="236">
        <v>4485.6432396</v>
      </c>
      <c r="BW353" s="236">
        <v>21271.376921999999</v>
      </c>
      <c r="BX353" s="236">
        <v>21104.009378800001</v>
      </c>
      <c r="BY353" s="234">
        <v>162671.894792798</v>
      </c>
      <c r="BZ353" s="236" t="s">
        <v>109</v>
      </c>
      <c r="CA353" s="236" t="s">
        <v>109</v>
      </c>
      <c r="CB353" s="236" t="s">
        <v>109</v>
      </c>
      <c r="CC353" s="236">
        <v>0</v>
      </c>
      <c r="CD353" s="236">
        <v>0</v>
      </c>
      <c r="CE353" s="236">
        <v>0</v>
      </c>
      <c r="CF353" s="236">
        <v>0</v>
      </c>
      <c r="CG353" s="236">
        <v>0</v>
      </c>
      <c r="CH353" s="236">
        <v>0</v>
      </c>
      <c r="CI353" s="236">
        <v>0</v>
      </c>
      <c r="CJ353" s="177" t="s">
        <v>128</v>
      </c>
      <c r="CK353" s="177" t="s">
        <v>128</v>
      </c>
      <c r="CL353" s="177" t="s">
        <v>128</v>
      </c>
      <c r="CM353" s="155" t="s">
        <v>109</v>
      </c>
      <c r="CN353" s="229">
        <v>0</v>
      </c>
      <c r="CO353" s="229">
        <v>0</v>
      </c>
      <c r="CP353" t="s">
        <v>155</v>
      </c>
      <c r="CR353" s="248"/>
    </row>
    <row r="354" spans="1:96" ht="14.4" x14ac:dyDescent="0.3">
      <c r="A354">
        <v>351</v>
      </c>
      <c r="B354" s="173" t="s">
        <v>2460</v>
      </c>
      <c r="C354" s="259"/>
      <c r="D354" s="260"/>
      <c r="E354" t="s">
        <v>2461</v>
      </c>
      <c r="F354" t="s">
        <v>2462</v>
      </c>
      <c r="G354" s="177" t="s">
        <v>111</v>
      </c>
      <c r="H354" s="177" t="s">
        <v>112</v>
      </c>
      <c r="I354" s="177" t="s">
        <v>112</v>
      </c>
      <c r="J354" s="177" t="s">
        <v>109</v>
      </c>
      <c r="K354" s="177" t="s">
        <v>192</v>
      </c>
      <c r="L354" s="177" t="s">
        <v>193</v>
      </c>
      <c r="M354" s="177" t="s">
        <v>194</v>
      </c>
      <c r="N354" s="177" t="s">
        <v>194</v>
      </c>
      <c r="O354" s="180">
        <v>45742</v>
      </c>
      <c r="P354" s="177" t="s">
        <v>109</v>
      </c>
      <c r="Q354" s="177" t="s">
        <v>109</v>
      </c>
      <c r="R354" s="177" t="s">
        <v>109</v>
      </c>
      <c r="S354" s="177" t="s">
        <v>109</v>
      </c>
      <c r="T354" s="177" t="s">
        <v>116</v>
      </c>
      <c r="U354" s="177" t="s">
        <v>117</v>
      </c>
      <c r="V354" s="177" t="b">
        <v>0</v>
      </c>
      <c r="W354" s="177" t="s">
        <v>109</v>
      </c>
      <c r="X354" s="261"/>
      <c r="Y354" s="177" t="s">
        <v>109</v>
      </c>
      <c r="Z354" s="176">
        <v>0.44</v>
      </c>
      <c r="AA354" s="177" t="s">
        <v>215</v>
      </c>
      <c r="AB354" s="177" t="s">
        <v>109</v>
      </c>
      <c r="AC354" s="177">
        <v>2.1</v>
      </c>
      <c r="AD354" s="177" t="s">
        <v>2463</v>
      </c>
      <c r="AE354" s="177" t="s">
        <v>2464</v>
      </c>
      <c r="AF354" s="177">
        <v>1</v>
      </c>
      <c r="AG354" s="177">
        <v>24136</v>
      </c>
      <c r="AH354" s="177" t="s">
        <v>121</v>
      </c>
      <c r="AI354" s="177" t="b">
        <v>1</v>
      </c>
      <c r="AJ354" s="180">
        <v>45565</v>
      </c>
      <c r="AK354" s="177" t="s">
        <v>122</v>
      </c>
      <c r="AL354" s="177">
        <v>2025</v>
      </c>
      <c r="AM354" s="177" t="s">
        <v>109</v>
      </c>
      <c r="AN354" s="179" t="b">
        <v>0</v>
      </c>
      <c r="AO354" s="177" t="s">
        <v>109</v>
      </c>
      <c r="AP354" s="177" t="s">
        <v>109</v>
      </c>
      <c r="AQ354" s="177" t="s">
        <v>109</v>
      </c>
      <c r="AR354" s="177" t="s">
        <v>531</v>
      </c>
      <c r="AS354" s="177" t="s">
        <v>123</v>
      </c>
      <c r="AT354" s="180" t="s">
        <v>109</v>
      </c>
      <c r="AU354" s="177" t="s">
        <v>124</v>
      </c>
      <c r="AV354" s="177" t="s">
        <v>109</v>
      </c>
      <c r="AW354" s="177" t="s">
        <v>195</v>
      </c>
      <c r="AX354" s="177" t="s">
        <v>109</v>
      </c>
      <c r="AY354" s="177" t="s">
        <v>109</v>
      </c>
      <c r="AZ354" s="177" t="s">
        <v>109</v>
      </c>
      <c r="BA354" s="177" t="s">
        <v>125</v>
      </c>
      <c r="BB354" s="177" t="s">
        <v>109</v>
      </c>
      <c r="BC354" s="177" t="s">
        <v>546</v>
      </c>
      <c r="BD354" s="177" t="s">
        <v>109</v>
      </c>
      <c r="BE354" s="180" t="s">
        <v>109</v>
      </c>
      <c r="BF354" s="180" t="s">
        <v>2465</v>
      </c>
      <c r="BG354" s="180">
        <v>47087</v>
      </c>
      <c r="BH354" s="177" t="s">
        <v>109</v>
      </c>
      <c r="BI354" s="177" t="s">
        <v>109</v>
      </c>
      <c r="BJ354" s="177" t="b">
        <v>1</v>
      </c>
      <c r="BK354" s="235">
        <f>3000.2772</f>
        <v>3000.2772</v>
      </c>
      <c r="BL354" s="234" t="s">
        <v>128</v>
      </c>
      <c r="BM354" s="256">
        <v>148420.755</v>
      </c>
      <c r="BN354" s="256">
        <v>0</v>
      </c>
      <c r="BO354" s="256">
        <v>0</v>
      </c>
      <c r="BP354" s="256">
        <v>0</v>
      </c>
      <c r="BQ354" s="256">
        <v>0</v>
      </c>
      <c r="BR354" s="256">
        <v>41.745160000000006</v>
      </c>
      <c r="BS354" s="256">
        <v>210.48429999999999</v>
      </c>
      <c r="BT354" s="256">
        <v>4822.0462546000008</v>
      </c>
      <c r="BU354" s="256">
        <v>53189.771602599991</v>
      </c>
      <c r="BV354" s="256">
        <v>47258.102496899999</v>
      </c>
      <c r="BW354" s="256">
        <v>42898.6053646</v>
      </c>
      <c r="BX354" s="256">
        <v>0</v>
      </c>
      <c r="BY354" s="255">
        <v>0</v>
      </c>
      <c r="BZ354" s="236" t="s">
        <v>109</v>
      </c>
      <c r="CA354" s="236" t="s">
        <v>109</v>
      </c>
      <c r="CB354" s="236" t="s">
        <v>196</v>
      </c>
      <c r="CC354" s="256">
        <v>0</v>
      </c>
      <c r="CD354" s="256">
        <v>0</v>
      </c>
      <c r="CE354" s="256">
        <v>0</v>
      </c>
      <c r="CF354" s="256">
        <v>0</v>
      </c>
      <c r="CG354" s="256">
        <v>41.745160000000006</v>
      </c>
      <c r="CH354" s="256">
        <v>210.48429999999999</v>
      </c>
      <c r="CI354" s="256">
        <v>651.90864280000005</v>
      </c>
      <c r="CJ354" s="177" t="s">
        <v>128</v>
      </c>
      <c r="CK354" s="177" t="s">
        <v>128</v>
      </c>
      <c r="CL354" s="177" t="s">
        <v>128</v>
      </c>
      <c r="CM354" s="155" t="s">
        <v>109</v>
      </c>
      <c r="CN354" s="229">
        <v>0</v>
      </c>
      <c r="CO354" s="229">
        <v>1</v>
      </c>
      <c r="CP354" t="s">
        <v>202</v>
      </c>
      <c r="CR354" s="248"/>
    </row>
    <row r="355" spans="1:96" ht="14.4" x14ac:dyDescent="0.3">
      <c r="A355">
        <v>352</v>
      </c>
      <c r="B355" s="173" t="s">
        <v>2466</v>
      </c>
      <c r="C355" s="259"/>
      <c r="D355" s="260"/>
      <c r="E355" t="s">
        <v>353</v>
      </c>
      <c r="F355" t="s">
        <v>2467</v>
      </c>
      <c r="G355" s="177" t="s">
        <v>111</v>
      </c>
      <c r="H355" s="177" t="s">
        <v>112</v>
      </c>
      <c r="I355" s="177" t="s">
        <v>112</v>
      </c>
      <c r="J355" s="177" t="s">
        <v>109</v>
      </c>
      <c r="K355" s="177" t="s">
        <v>485</v>
      </c>
      <c r="L355" s="177" t="s">
        <v>504</v>
      </c>
      <c r="M355" s="177" t="s">
        <v>109</v>
      </c>
      <c r="N355" s="177" t="s">
        <v>109</v>
      </c>
      <c r="O355" s="180">
        <v>45798</v>
      </c>
      <c r="P355" s="177" t="s">
        <v>109</v>
      </c>
      <c r="Q355" s="177" t="s">
        <v>109</v>
      </c>
      <c r="R355" s="177" t="s">
        <v>109</v>
      </c>
      <c r="S355" s="177" t="s">
        <v>109</v>
      </c>
      <c r="T355" s="177" t="s">
        <v>116</v>
      </c>
      <c r="U355" s="177" t="s">
        <v>117</v>
      </c>
      <c r="V355" s="177" t="b">
        <v>0</v>
      </c>
      <c r="W355" s="177" t="s">
        <v>109</v>
      </c>
      <c r="X355" s="261"/>
      <c r="Y355" s="177" t="s">
        <v>109</v>
      </c>
      <c r="Z355" s="176">
        <v>1.64</v>
      </c>
      <c r="AA355" s="177" t="s">
        <v>109</v>
      </c>
      <c r="AB355" s="177" t="s">
        <v>123</v>
      </c>
      <c r="AC355" s="177">
        <v>2.1</v>
      </c>
      <c r="AD355" s="177" t="s">
        <v>109</v>
      </c>
      <c r="AE355" s="177" t="s">
        <v>2468</v>
      </c>
      <c r="AF355" s="177">
        <v>1</v>
      </c>
      <c r="AG355" s="177">
        <v>24137</v>
      </c>
      <c r="AH355" s="177" t="s">
        <v>121</v>
      </c>
      <c r="AI355" s="177" t="b">
        <v>1</v>
      </c>
      <c r="AJ355" s="180">
        <v>45587</v>
      </c>
      <c r="AK355" s="177" t="s">
        <v>122</v>
      </c>
      <c r="AL355" s="177">
        <v>2025</v>
      </c>
      <c r="AM355" s="177" t="s">
        <v>109</v>
      </c>
      <c r="AN355" s="179" t="b">
        <v>0</v>
      </c>
      <c r="AO355" s="177" t="s">
        <v>109</v>
      </c>
      <c r="AP355" s="177" t="s">
        <v>109</v>
      </c>
      <c r="AQ355" s="177" t="s">
        <v>109</v>
      </c>
      <c r="AR355" s="177" t="b">
        <v>0</v>
      </c>
      <c r="AS355" s="177" t="s">
        <v>123</v>
      </c>
      <c r="AT355" s="180" t="s">
        <v>109</v>
      </c>
      <c r="AU355" s="177" t="s">
        <v>124</v>
      </c>
      <c r="AV355" s="177" t="s">
        <v>109</v>
      </c>
      <c r="AW355" s="177" t="s">
        <v>195</v>
      </c>
      <c r="AX355" s="177" t="s">
        <v>109</v>
      </c>
      <c r="AY355" s="177" t="s">
        <v>123</v>
      </c>
      <c r="AZ355" s="177" t="s">
        <v>2469</v>
      </c>
      <c r="BA355" s="177" t="s">
        <v>125</v>
      </c>
      <c r="BB355" s="177" t="s">
        <v>109</v>
      </c>
      <c r="BC355" s="177" t="s">
        <v>296</v>
      </c>
      <c r="BD355" s="177" t="s">
        <v>109</v>
      </c>
      <c r="BE355" s="180" t="s">
        <v>109</v>
      </c>
      <c r="BF355" s="180" t="s">
        <v>109</v>
      </c>
      <c r="BG355" s="180" t="s">
        <v>109</v>
      </c>
      <c r="BH355" s="177" t="s">
        <v>109</v>
      </c>
      <c r="BI355" s="177" t="s">
        <v>109</v>
      </c>
      <c r="BJ355" s="177" t="b">
        <v>0</v>
      </c>
      <c r="BK355" s="235">
        <f>3740.10398</f>
        <v>3740.1039799999999</v>
      </c>
      <c r="BL355" s="234" t="s">
        <v>128</v>
      </c>
      <c r="BM355" s="236">
        <v>64449.141863067001</v>
      </c>
      <c r="BN355" s="236">
        <v>0</v>
      </c>
      <c r="BO355" s="236">
        <v>0</v>
      </c>
      <c r="BP355" s="236">
        <v>0</v>
      </c>
      <c r="BQ355" s="236">
        <v>0</v>
      </c>
      <c r="BR355" s="236">
        <v>15.329366</v>
      </c>
      <c r="BS355" s="236">
        <v>38.024532000000001</v>
      </c>
      <c r="BT355" s="236">
        <v>296.23857939999999</v>
      </c>
      <c r="BU355" s="236">
        <v>2263.5062386999998</v>
      </c>
      <c r="BV355" s="236">
        <v>2039.8278364</v>
      </c>
      <c r="BW355" s="236">
        <v>2228.3938979999998</v>
      </c>
      <c r="BX355" s="236">
        <v>2434.3916982000001</v>
      </c>
      <c r="BY355" s="234">
        <v>55186.783612366999</v>
      </c>
      <c r="BZ355" s="236" t="s">
        <v>109</v>
      </c>
      <c r="CA355" s="236" t="s">
        <v>109</v>
      </c>
      <c r="CB355" s="236" t="s">
        <v>109</v>
      </c>
      <c r="CC355" s="236">
        <v>0</v>
      </c>
      <c r="CD355" s="236">
        <v>0</v>
      </c>
      <c r="CE355" s="236">
        <v>0</v>
      </c>
      <c r="CF355" s="236">
        <v>0</v>
      </c>
      <c r="CG355" s="236">
        <v>0</v>
      </c>
      <c r="CH355" s="236">
        <v>0</v>
      </c>
      <c r="CI355" s="236">
        <v>0</v>
      </c>
      <c r="CJ355" s="177" t="s">
        <v>128</v>
      </c>
      <c r="CK355" s="177" t="s">
        <v>128</v>
      </c>
      <c r="CL355" s="177" t="s">
        <v>128</v>
      </c>
      <c r="CM355" s="155" t="s">
        <v>109</v>
      </c>
      <c r="CN355" s="229">
        <v>0</v>
      </c>
      <c r="CO355" s="229">
        <v>0</v>
      </c>
      <c r="CP355" t="s">
        <v>155</v>
      </c>
      <c r="CR355" s="248"/>
    </row>
    <row r="356" spans="1:96" ht="14.4" x14ac:dyDescent="0.3">
      <c r="A356">
        <v>353</v>
      </c>
      <c r="B356" s="173" t="s">
        <v>2470</v>
      </c>
      <c r="C356" s="259"/>
      <c r="D356" s="260"/>
      <c r="E356" t="s">
        <v>749</v>
      </c>
      <c r="F356" t="s">
        <v>2471</v>
      </c>
      <c r="G356" s="177" t="s">
        <v>111</v>
      </c>
      <c r="H356" s="177" t="s">
        <v>112</v>
      </c>
      <c r="I356" s="177" t="s">
        <v>112</v>
      </c>
      <c r="J356" s="177" t="s">
        <v>109</v>
      </c>
      <c r="K356" s="177" t="s">
        <v>192</v>
      </c>
      <c r="L356" s="177" t="s">
        <v>486</v>
      </c>
      <c r="M356" s="177" t="s">
        <v>194</v>
      </c>
      <c r="N356" s="177" t="s">
        <v>194</v>
      </c>
      <c r="O356" s="180">
        <v>45768</v>
      </c>
      <c r="P356" s="177" t="s">
        <v>109</v>
      </c>
      <c r="Q356" s="177" t="s">
        <v>109</v>
      </c>
      <c r="R356" s="177" t="s">
        <v>109</v>
      </c>
      <c r="S356" s="177" t="s">
        <v>109</v>
      </c>
      <c r="T356" s="177" t="s">
        <v>116</v>
      </c>
      <c r="U356" s="177" t="s">
        <v>117</v>
      </c>
      <c r="V356" s="177" t="b">
        <v>0</v>
      </c>
      <c r="W356" s="177" t="s">
        <v>109</v>
      </c>
      <c r="X356" s="261"/>
      <c r="Y356" s="177" t="s">
        <v>109</v>
      </c>
      <c r="Z356" s="176">
        <v>4.66</v>
      </c>
      <c r="AA356" s="177" t="s">
        <v>109</v>
      </c>
      <c r="AB356" s="177" t="s">
        <v>109</v>
      </c>
      <c r="AC356" s="177">
        <v>4.2</v>
      </c>
      <c r="AD356" s="177" t="s">
        <v>2472</v>
      </c>
      <c r="AE356" s="177" t="s">
        <v>2473</v>
      </c>
      <c r="AF356" s="177">
        <v>1</v>
      </c>
      <c r="AG356" s="177">
        <v>24138</v>
      </c>
      <c r="AH356" s="177" t="s">
        <v>121</v>
      </c>
      <c r="AI356" s="177" t="b">
        <v>1</v>
      </c>
      <c r="AJ356" s="180">
        <v>45595</v>
      </c>
      <c r="AK356" s="177" t="s">
        <v>122</v>
      </c>
      <c r="AL356" s="177">
        <v>2025</v>
      </c>
      <c r="AM356" s="177" t="s">
        <v>109</v>
      </c>
      <c r="AN356" s="179" t="b">
        <v>0</v>
      </c>
      <c r="AO356" s="177" t="s">
        <v>109</v>
      </c>
      <c r="AP356" s="177" t="s">
        <v>109</v>
      </c>
      <c r="AQ356" s="177" t="s">
        <v>109</v>
      </c>
      <c r="AR356" s="177" t="s">
        <v>2474</v>
      </c>
      <c r="AS356" s="177" t="s">
        <v>123</v>
      </c>
      <c r="AT356" s="180" t="s">
        <v>109</v>
      </c>
      <c r="AU356" s="177" t="s">
        <v>491</v>
      </c>
      <c r="AV356" s="177" t="s">
        <v>109</v>
      </c>
      <c r="AW356" s="177" t="s">
        <v>195</v>
      </c>
      <c r="AX356" s="177" t="s">
        <v>109</v>
      </c>
      <c r="AY356" s="177" t="s">
        <v>492</v>
      </c>
      <c r="AZ356" s="177" t="s">
        <v>109</v>
      </c>
      <c r="BA356" s="177" t="s">
        <v>125</v>
      </c>
      <c r="BB356" s="177" t="s">
        <v>109</v>
      </c>
      <c r="BC356" s="177" t="s">
        <v>296</v>
      </c>
      <c r="BD356" s="177" t="s">
        <v>109</v>
      </c>
      <c r="BE356" s="180" t="s">
        <v>109</v>
      </c>
      <c r="BF356" s="180" t="s">
        <v>109</v>
      </c>
      <c r="BG356" s="180" t="s">
        <v>2475</v>
      </c>
      <c r="BH356" s="177" t="s">
        <v>699</v>
      </c>
      <c r="BI356" s="177" t="s">
        <v>326</v>
      </c>
      <c r="BJ356" s="177" t="b">
        <v>0</v>
      </c>
      <c r="BK356" s="235">
        <f>1927.40409</f>
        <v>1927.40409</v>
      </c>
      <c r="BL356" s="234" t="s">
        <v>128</v>
      </c>
      <c r="BM356" s="236">
        <v>128087.41197562699</v>
      </c>
      <c r="BN356" s="236">
        <v>0</v>
      </c>
      <c r="BO356" s="236">
        <v>0</v>
      </c>
      <c r="BP356" s="236">
        <v>0</v>
      </c>
      <c r="BQ356" s="236">
        <v>0</v>
      </c>
      <c r="BR356" s="236">
        <v>7.94156</v>
      </c>
      <c r="BS356" s="236">
        <v>57.854052000000003</v>
      </c>
      <c r="BT356" s="236">
        <v>5728.8569243000002</v>
      </c>
      <c r="BU356" s="236">
        <v>16160.586640400001</v>
      </c>
      <c r="BV356" s="236">
        <v>29837.7236858</v>
      </c>
      <c r="BW356" s="236">
        <v>53430.615587599998</v>
      </c>
      <c r="BX356" s="236">
        <v>11754.6933116</v>
      </c>
      <c r="BY356" s="234">
        <v>11174.935825926992</v>
      </c>
      <c r="BZ356" s="236" t="s">
        <v>109</v>
      </c>
      <c r="CA356" s="236" t="s">
        <v>109</v>
      </c>
      <c r="CB356" s="236" t="s">
        <v>109</v>
      </c>
      <c r="CC356" s="236">
        <v>0</v>
      </c>
      <c r="CD356" s="236">
        <v>0</v>
      </c>
      <c r="CE356" s="236">
        <v>0</v>
      </c>
      <c r="CF356" s="236">
        <v>0</v>
      </c>
      <c r="CG356" s="236">
        <v>0</v>
      </c>
      <c r="CH356" s="236">
        <v>0</v>
      </c>
      <c r="CI356" s="236">
        <v>0</v>
      </c>
      <c r="CJ356" s="237">
        <v>0</v>
      </c>
      <c r="CK356" s="237">
        <v>0</v>
      </c>
      <c r="CL356" s="177">
        <v>3.9</v>
      </c>
      <c r="CM356" s="155" t="s">
        <v>109</v>
      </c>
      <c r="CN356" s="229">
        <v>0</v>
      </c>
      <c r="CO356" s="229">
        <v>0</v>
      </c>
      <c r="CP356" t="s">
        <v>155</v>
      </c>
      <c r="CR356" s="248"/>
    </row>
    <row r="357" spans="1:96" ht="14.4" x14ac:dyDescent="0.3">
      <c r="A357">
        <v>354</v>
      </c>
      <c r="B357" s="173" t="s">
        <v>2476</v>
      </c>
      <c r="C357" s="259"/>
      <c r="D357" s="260"/>
      <c r="E357" t="s">
        <v>380</v>
      </c>
      <c r="F357" t="s">
        <v>2477</v>
      </c>
      <c r="G357" s="177" t="s">
        <v>111</v>
      </c>
      <c r="H357" s="177" t="s">
        <v>112</v>
      </c>
      <c r="I357" s="177" t="s">
        <v>112</v>
      </c>
      <c r="J357" s="177" t="s">
        <v>109</v>
      </c>
      <c r="K357" s="177" t="s">
        <v>192</v>
      </c>
      <c r="L357" s="177" t="s">
        <v>193</v>
      </c>
      <c r="M357" s="177" t="s">
        <v>194</v>
      </c>
      <c r="N357" s="177" t="s">
        <v>194</v>
      </c>
      <c r="O357" s="180">
        <v>45742</v>
      </c>
      <c r="P357" s="177" t="s">
        <v>109</v>
      </c>
      <c r="Q357" s="177" t="s">
        <v>109</v>
      </c>
      <c r="R357" s="177" t="s">
        <v>109</v>
      </c>
      <c r="S357" s="177" t="s">
        <v>109</v>
      </c>
      <c r="T357" s="177" t="s">
        <v>116</v>
      </c>
      <c r="U357" s="177" t="s">
        <v>117</v>
      </c>
      <c r="V357" s="177" t="b">
        <v>0</v>
      </c>
      <c r="W357" s="177" t="s">
        <v>109</v>
      </c>
      <c r="X357" s="261"/>
      <c r="Y357" s="177" t="s">
        <v>109</v>
      </c>
      <c r="Z357" s="176">
        <v>55.48</v>
      </c>
      <c r="AA357" s="177" t="s">
        <v>861</v>
      </c>
      <c r="AB357" s="177" t="s">
        <v>109</v>
      </c>
      <c r="AC357" s="177">
        <v>2.1</v>
      </c>
      <c r="AD357" s="177" t="s">
        <v>2478</v>
      </c>
      <c r="AE357" s="177" t="s">
        <v>109</v>
      </c>
      <c r="AF357" s="177">
        <v>1</v>
      </c>
      <c r="AG357" s="177">
        <v>24139</v>
      </c>
      <c r="AH357" s="177" t="s">
        <v>121</v>
      </c>
      <c r="AI357" s="177" t="b">
        <v>1</v>
      </c>
      <c r="AJ357" s="180">
        <v>45636</v>
      </c>
      <c r="AK357" s="177" t="s">
        <v>122</v>
      </c>
      <c r="AL357" s="177">
        <v>2025</v>
      </c>
      <c r="AM357" s="177" t="s">
        <v>109</v>
      </c>
      <c r="AN357" s="179" t="b">
        <v>0</v>
      </c>
      <c r="AO357" s="177" t="s">
        <v>109</v>
      </c>
      <c r="AP357" s="177" t="s">
        <v>109</v>
      </c>
      <c r="AQ357" s="177" t="s">
        <v>109</v>
      </c>
      <c r="AR357" s="177" t="s">
        <v>531</v>
      </c>
      <c r="AS357" s="177" t="s">
        <v>123</v>
      </c>
      <c r="AT357" s="180" t="s">
        <v>109</v>
      </c>
      <c r="AU357" s="177" t="s">
        <v>124</v>
      </c>
      <c r="AV357" s="177" t="s">
        <v>246</v>
      </c>
      <c r="AW357" s="177" t="s">
        <v>195</v>
      </c>
      <c r="AX357" s="177" t="s">
        <v>2479</v>
      </c>
      <c r="AY357" s="177" t="s">
        <v>492</v>
      </c>
      <c r="AZ357" s="177" t="s">
        <v>109</v>
      </c>
      <c r="BA357" s="177" t="s">
        <v>125</v>
      </c>
      <c r="BB357" s="177" t="s">
        <v>109</v>
      </c>
      <c r="BC357" s="177" t="s">
        <v>296</v>
      </c>
      <c r="BD357" s="177" t="s">
        <v>109</v>
      </c>
      <c r="BE357" s="180" t="s">
        <v>109</v>
      </c>
      <c r="BF357" s="180" t="s">
        <v>2480</v>
      </c>
      <c r="BG357" s="180">
        <v>49490</v>
      </c>
      <c r="BH357" s="177" t="s">
        <v>109</v>
      </c>
      <c r="BI357" s="177" t="s">
        <v>109</v>
      </c>
      <c r="BJ357" s="177" t="b">
        <v>1</v>
      </c>
      <c r="BK357" s="238">
        <f>4099.974</f>
        <v>4099.9740000000002</v>
      </c>
      <c r="BL357" s="234" t="s">
        <v>128</v>
      </c>
      <c r="BM357" s="236">
        <v>92541.524394173903</v>
      </c>
      <c r="BN357" s="236">
        <v>0</v>
      </c>
      <c r="BO357" s="236">
        <v>0</v>
      </c>
      <c r="BP357" s="236">
        <v>0</v>
      </c>
      <c r="BQ357" s="236">
        <v>0</v>
      </c>
      <c r="BR357" s="236">
        <v>10.21776</v>
      </c>
      <c r="BS357" s="236">
        <v>40.189790000000002</v>
      </c>
      <c r="BT357" s="236">
        <v>1894.8399995</v>
      </c>
      <c r="BU357" s="236">
        <v>1911.3436767999999</v>
      </c>
      <c r="BV357" s="236">
        <v>5608.6061743</v>
      </c>
      <c r="BW357" s="236">
        <v>10491.3741716</v>
      </c>
      <c r="BX357" s="236">
        <v>2132.1827072999999</v>
      </c>
      <c r="BY357" s="234">
        <v>92541.524394173903</v>
      </c>
      <c r="BZ357" s="236" t="s">
        <v>109</v>
      </c>
      <c r="CA357" s="236" t="s">
        <v>109</v>
      </c>
      <c r="CB357" s="236">
        <v>2025</v>
      </c>
      <c r="CC357" s="236">
        <v>0</v>
      </c>
      <c r="CD357" s="236">
        <v>0</v>
      </c>
      <c r="CE357" s="236">
        <v>0</v>
      </c>
      <c r="CF357" s="236">
        <v>0</v>
      </c>
      <c r="CG357" s="236">
        <v>0</v>
      </c>
      <c r="CH357" s="236">
        <v>0</v>
      </c>
      <c r="CI357" s="236">
        <v>1894.4189827</v>
      </c>
      <c r="CJ357" s="177" t="s">
        <v>128</v>
      </c>
      <c r="CK357" s="177" t="s">
        <v>128</v>
      </c>
      <c r="CL357" s="177" t="s">
        <v>128</v>
      </c>
      <c r="CM357" s="155" t="s">
        <v>109</v>
      </c>
      <c r="CN357" s="229">
        <v>1</v>
      </c>
      <c r="CO357" s="229">
        <v>0</v>
      </c>
      <c r="CP357" t="s">
        <v>202</v>
      </c>
      <c r="CR357" s="248"/>
    </row>
    <row r="358" spans="1:96" ht="14.4" x14ac:dyDescent="0.3">
      <c r="A358">
        <v>355</v>
      </c>
      <c r="B358" s="173" t="s">
        <v>2481</v>
      </c>
      <c r="C358" s="259"/>
      <c r="D358" s="260"/>
      <c r="E358" t="s">
        <v>410</v>
      </c>
      <c r="F358" t="s">
        <v>2383</v>
      </c>
      <c r="G358" s="177" t="s">
        <v>111</v>
      </c>
      <c r="H358" s="177" t="s">
        <v>112</v>
      </c>
      <c r="I358" s="177" t="s">
        <v>112</v>
      </c>
      <c r="J358" s="177" t="s">
        <v>109</v>
      </c>
      <c r="K358" s="177" t="s">
        <v>485</v>
      </c>
      <c r="L358" s="177" t="s">
        <v>1010</v>
      </c>
      <c r="M358" s="177" t="s">
        <v>109</v>
      </c>
      <c r="N358" s="177" t="s">
        <v>109</v>
      </c>
      <c r="O358" s="180">
        <v>45754</v>
      </c>
      <c r="P358" s="177" t="s">
        <v>109</v>
      </c>
      <c r="Q358" s="177" t="s">
        <v>109</v>
      </c>
      <c r="R358" s="177" t="s">
        <v>109</v>
      </c>
      <c r="S358" s="177" t="s">
        <v>109</v>
      </c>
      <c r="T358" s="177" t="s">
        <v>116</v>
      </c>
      <c r="U358" s="177" t="s">
        <v>117</v>
      </c>
      <c r="V358" s="177" t="b">
        <v>0</v>
      </c>
      <c r="W358" s="177" t="s">
        <v>109</v>
      </c>
      <c r="X358" s="261"/>
      <c r="Y358" s="177" t="s">
        <v>109</v>
      </c>
      <c r="Z358" s="176">
        <v>2.78</v>
      </c>
      <c r="AA358" s="177" t="s">
        <v>119</v>
      </c>
      <c r="AB358" s="177" t="s">
        <v>2384</v>
      </c>
      <c r="AC358" s="177">
        <v>1.4</v>
      </c>
      <c r="AD358" s="177" t="s">
        <v>2482</v>
      </c>
      <c r="AE358" s="177" t="s">
        <v>109</v>
      </c>
      <c r="AF358" s="177">
        <v>1</v>
      </c>
      <c r="AG358" s="177">
        <v>24246</v>
      </c>
      <c r="AH358" s="177" t="s">
        <v>121</v>
      </c>
      <c r="AI358" s="177" t="b">
        <v>1</v>
      </c>
      <c r="AJ358" s="180">
        <v>45673</v>
      </c>
      <c r="AK358" s="177" t="s">
        <v>122</v>
      </c>
      <c r="AL358" s="177">
        <v>2024</v>
      </c>
      <c r="AM358" s="177" t="s">
        <v>109</v>
      </c>
      <c r="AN358" s="179" t="b">
        <v>0</v>
      </c>
      <c r="AO358" s="177" t="s">
        <v>109</v>
      </c>
      <c r="AP358" s="177" t="s">
        <v>109</v>
      </c>
      <c r="AQ358" s="177" t="s">
        <v>109</v>
      </c>
      <c r="AR358" s="177" t="s">
        <v>531</v>
      </c>
      <c r="AS358" s="177" t="s">
        <v>123</v>
      </c>
      <c r="AT358" s="180" t="s">
        <v>109</v>
      </c>
      <c r="AU358" s="177" t="s">
        <v>124</v>
      </c>
      <c r="AV358" s="177" t="s">
        <v>109</v>
      </c>
      <c r="AW358" s="177" t="s">
        <v>195</v>
      </c>
      <c r="AX358" s="177" t="s">
        <v>109</v>
      </c>
      <c r="AY358" s="177" t="s">
        <v>135</v>
      </c>
      <c r="AZ358" s="177" t="s">
        <v>109</v>
      </c>
      <c r="BA358" s="177" t="s">
        <v>218</v>
      </c>
      <c r="BB358" s="177" t="s">
        <v>109</v>
      </c>
      <c r="BC358" s="177" t="s">
        <v>296</v>
      </c>
      <c r="BD358" s="177" t="s">
        <v>109</v>
      </c>
      <c r="BE358" s="181" t="s">
        <v>2483</v>
      </c>
      <c r="BF358" s="180" t="s">
        <v>2484</v>
      </c>
      <c r="BG358" s="180" t="s">
        <v>2485</v>
      </c>
      <c r="BH358" s="177" t="s">
        <v>109</v>
      </c>
      <c r="BI358" s="177" t="s">
        <v>109</v>
      </c>
      <c r="BJ358" s="177" t="b">
        <v>0</v>
      </c>
      <c r="BK358" s="236" t="s">
        <v>118</v>
      </c>
      <c r="BL358" s="234" t="s">
        <v>128</v>
      </c>
      <c r="BM358" s="238">
        <f>0</f>
        <v>0</v>
      </c>
      <c r="BN358" s="236">
        <v>0</v>
      </c>
      <c r="BO358" s="236">
        <v>0</v>
      </c>
      <c r="BP358" s="236">
        <v>0</v>
      </c>
      <c r="BQ358" s="236">
        <v>0</v>
      </c>
      <c r="BR358" s="236">
        <v>0</v>
      </c>
      <c r="BS358" s="236">
        <v>0</v>
      </c>
      <c r="BT358" s="236">
        <v>171.60271159999999</v>
      </c>
      <c r="BU358" s="236">
        <v>275.84677210000001</v>
      </c>
      <c r="BV358" s="236">
        <v>803.03842039999995</v>
      </c>
      <c r="BW358" s="236">
        <v>0</v>
      </c>
      <c r="BX358" s="236">
        <v>0</v>
      </c>
      <c r="BY358" s="234">
        <v>0</v>
      </c>
      <c r="BZ358" s="236" t="s">
        <v>109</v>
      </c>
      <c r="CA358" s="236" t="s">
        <v>109</v>
      </c>
      <c r="CB358" s="236" t="s">
        <v>109</v>
      </c>
      <c r="CC358" s="236">
        <v>0</v>
      </c>
      <c r="CD358" s="236">
        <v>0</v>
      </c>
      <c r="CE358" s="236">
        <v>0</v>
      </c>
      <c r="CF358" s="236">
        <v>0</v>
      </c>
      <c r="CG358" s="236">
        <v>0</v>
      </c>
      <c r="CH358" s="236">
        <v>0</v>
      </c>
      <c r="CI358" s="236">
        <v>0</v>
      </c>
      <c r="CJ358" s="177" t="s">
        <v>128</v>
      </c>
      <c r="CK358" s="177" t="s">
        <v>128</v>
      </c>
      <c r="CL358" s="177">
        <v>4.5999999999999996</v>
      </c>
      <c r="CM358" s="155" t="s">
        <v>109</v>
      </c>
      <c r="CN358" s="229">
        <v>0</v>
      </c>
      <c r="CO358" s="229">
        <v>1</v>
      </c>
      <c r="CP358" t="s">
        <v>2486</v>
      </c>
      <c r="CR358" s="248"/>
    </row>
    <row r="359" spans="1:96" ht="14.4" x14ac:dyDescent="0.3">
      <c r="A359">
        <v>356</v>
      </c>
      <c r="B359" s="173" t="s">
        <v>2487</v>
      </c>
      <c r="C359" s="259"/>
      <c r="D359" s="260"/>
      <c r="E359" t="s">
        <v>2488</v>
      </c>
      <c r="F359" t="s">
        <v>2489</v>
      </c>
      <c r="G359" s="177" t="s">
        <v>111</v>
      </c>
      <c r="H359" s="177" t="s">
        <v>113</v>
      </c>
      <c r="I359" s="177" t="s">
        <v>109</v>
      </c>
      <c r="J359" s="177" t="s">
        <v>109</v>
      </c>
      <c r="K359" s="177" t="s">
        <v>662</v>
      </c>
      <c r="L359" s="177" t="s">
        <v>2185</v>
      </c>
      <c r="M359" s="177" t="s">
        <v>109</v>
      </c>
      <c r="N359" s="177" t="s">
        <v>109</v>
      </c>
      <c r="O359" s="180">
        <v>45792</v>
      </c>
      <c r="P359" s="177" t="s">
        <v>783</v>
      </c>
      <c r="Q359" s="177" t="s">
        <v>109</v>
      </c>
      <c r="R359" s="177" t="s">
        <v>109</v>
      </c>
      <c r="S359" s="177" t="s">
        <v>109</v>
      </c>
      <c r="T359" s="177" t="s">
        <v>285</v>
      </c>
      <c r="U359" s="177" t="s">
        <v>918</v>
      </c>
      <c r="V359" s="177" t="b">
        <v>0</v>
      </c>
      <c r="W359" s="177" t="s">
        <v>109</v>
      </c>
      <c r="X359" s="261"/>
      <c r="Y359" s="177" t="s">
        <v>109</v>
      </c>
      <c r="Z359" s="177" t="s">
        <v>109</v>
      </c>
      <c r="AA359" s="177">
        <v>69</v>
      </c>
      <c r="AB359" s="177" t="s">
        <v>434</v>
      </c>
      <c r="AC359" s="177">
        <v>1.2</v>
      </c>
      <c r="AD359" s="177" t="s">
        <v>2490</v>
      </c>
      <c r="AE359" s="177" t="s">
        <v>109</v>
      </c>
      <c r="AF359" s="177">
        <v>1</v>
      </c>
      <c r="AG359" s="177">
        <v>24251</v>
      </c>
      <c r="AH359" s="177" t="s">
        <v>121</v>
      </c>
      <c r="AI359" s="177" t="b">
        <v>1</v>
      </c>
      <c r="AJ359" s="180">
        <v>45673</v>
      </c>
      <c r="AK359" s="177" t="s">
        <v>122</v>
      </c>
      <c r="AL359" s="177">
        <v>2020</v>
      </c>
      <c r="AM359" s="177" t="s">
        <v>109</v>
      </c>
      <c r="AN359" s="177" t="b">
        <v>0</v>
      </c>
      <c r="AO359" s="177" t="s">
        <v>109</v>
      </c>
      <c r="AP359" s="177" t="s">
        <v>109</v>
      </c>
      <c r="AQ359" s="177" t="s">
        <v>109</v>
      </c>
      <c r="AR359" s="177" t="b">
        <v>0</v>
      </c>
      <c r="AS359" s="177" t="s">
        <v>123</v>
      </c>
      <c r="AT359" s="180" t="s">
        <v>109</v>
      </c>
      <c r="AU359" s="177" t="s">
        <v>124</v>
      </c>
      <c r="AV359" s="177" t="s">
        <v>109</v>
      </c>
      <c r="AW359" s="177" t="s">
        <v>195</v>
      </c>
      <c r="AX359" s="177" t="s">
        <v>118</v>
      </c>
      <c r="AY359" s="177" t="s">
        <v>135</v>
      </c>
      <c r="AZ359" s="180" t="s">
        <v>2491</v>
      </c>
      <c r="BA359" s="177" t="s">
        <v>218</v>
      </c>
      <c r="BB359" s="177" t="s">
        <v>109</v>
      </c>
      <c r="BC359" s="177" t="s">
        <v>863</v>
      </c>
      <c r="BD359" s="177" t="s">
        <v>109</v>
      </c>
      <c r="BE359" s="181" t="s">
        <v>1522</v>
      </c>
      <c r="BF359" s="180" t="s">
        <v>137</v>
      </c>
      <c r="BG359" s="180" t="s">
        <v>2492</v>
      </c>
      <c r="BH359" s="177" t="s">
        <v>1738</v>
      </c>
      <c r="BI359" s="177" t="s">
        <v>109</v>
      </c>
      <c r="BJ359" s="177" t="b">
        <v>1</v>
      </c>
      <c r="BK359" s="238">
        <f>34252.45704</f>
        <v>34252.457040000001</v>
      </c>
      <c r="BL359" s="234" t="s">
        <v>128</v>
      </c>
      <c r="BM359" s="256">
        <v>44541.603999999999</v>
      </c>
      <c r="BN359" s="256">
        <v>748.66042920000007</v>
      </c>
      <c r="BO359" s="256">
        <v>1577.9954407999999</v>
      </c>
      <c r="BP359" s="256">
        <v>5352.3546709000002</v>
      </c>
      <c r="BQ359" s="256">
        <v>8586.9165967999998</v>
      </c>
      <c r="BR359" s="256">
        <v>7706.4509660000003</v>
      </c>
      <c r="BS359" s="256">
        <v>3276.2331400000003</v>
      </c>
      <c r="BT359" s="256">
        <v>9607.033446999998</v>
      </c>
      <c r="BU359" s="256">
        <v>6571.9458326000004</v>
      </c>
      <c r="BV359" s="256">
        <v>1114.0132000999999</v>
      </c>
      <c r="BW359" s="256">
        <v>0</v>
      </c>
      <c r="BX359" s="256">
        <v>0</v>
      </c>
      <c r="BY359" s="255">
        <v>26172.778999999999</v>
      </c>
      <c r="BZ359" s="236" t="s">
        <v>109</v>
      </c>
      <c r="CA359" s="236" t="s">
        <v>109</v>
      </c>
      <c r="CB359" s="236" t="s">
        <v>842</v>
      </c>
      <c r="CC359" s="256">
        <v>0</v>
      </c>
      <c r="CD359" s="256">
        <v>2.5985499000000001</v>
      </c>
      <c r="CE359" s="256">
        <v>208.74870089999999</v>
      </c>
      <c r="CF359" s="256">
        <v>251.03390680000001</v>
      </c>
      <c r="CG359" s="256">
        <v>306.46006600000004</v>
      </c>
      <c r="CH359" s="256">
        <v>306.99020000000002</v>
      </c>
      <c r="CI359" s="256">
        <v>0</v>
      </c>
      <c r="CJ359" s="177" t="s">
        <v>128</v>
      </c>
      <c r="CK359" s="177" t="s">
        <v>128</v>
      </c>
      <c r="CL359" s="177" t="s">
        <v>128</v>
      </c>
      <c r="CM359" s="155" t="s">
        <v>109</v>
      </c>
      <c r="CN359" s="229">
        <v>0</v>
      </c>
      <c r="CO359" s="229">
        <v>1</v>
      </c>
      <c r="CP359" t="s">
        <v>2493</v>
      </c>
      <c r="CR359" s="248"/>
    </row>
    <row r="360" spans="1:96" ht="14.4" x14ac:dyDescent="0.3">
      <c r="A360">
        <v>357</v>
      </c>
      <c r="B360" s="173" t="s">
        <v>2494</v>
      </c>
      <c r="C360" s="259"/>
      <c r="D360" s="260"/>
      <c r="E360" t="s">
        <v>483</v>
      </c>
      <c r="F360" t="s">
        <v>2495</v>
      </c>
      <c r="G360" s="177" t="s">
        <v>111</v>
      </c>
      <c r="H360" s="177" t="s">
        <v>113</v>
      </c>
      <c r="I360" s="177" t="s">
        <v>109</v>
      </c>
      <c r="J360" s="177" t="s">
        <v>109</v>
      </c>
      <c r="K360" s="177" t="s">
        <v>114</v>
      </c>
      <c r="L360" s="177" t="s">
        <v>2185</v>
      </c>
      <c r="M360" s="177" t="s">
        <v>109</v>
      </c>
      <c r="N360" s="177" t="s">
        <v>109</v>
      </c>
      <c r="O360" s="180" t="s">
        <v>109</v>
      </c>
      <c r="P360" s="177" t="s">
        <v>689</v>
      </c>
      <c r="Q360" s="177" t="s">
        <v>109</v>
      </c>
      <c r="R360" s="177" t="s">
        <v>109</v>
      </c>
      <c r="S360" s="177" t="s">
        <v>109</v>
      </c>
      <c r="T360" s="177" t="s">
        <v>116</v>
      </c>
      <c r="U360" s="177" t="s">
        <v>117</v>
      </c>
      <c r="V360" s="177" t="b">
        <v>0</v>
      </c>
      <c r="W360" s="177" t="s">
        <v>109</v>
      </c>
      <c r="X360" s="261"/>
      <c r="Y360" s="177" t="s">
        <v>2496</v>
      </c>
      <c r="Z360" s="176">
        <v>2.17</v>
      </c>
      <c r="AA360" s="177">
        <v>69</v>
      </c>
      <c r="AB360" s="177" t="s">
        <v>373</v>
      </c>
      <c r="AC360" s="177">
        <v>4.0999999999999996</v>
      </c>
      <c r="AD360" s="177" t="s">
        <v>2497</v>
      </c>
      <c r="AE360" s="177" t="s">
        <v>109</v>
      </c>
      <c r="AF360" s="177">
        <v>1</v>
      </c>
      <c r="AG360" s="177">
        <v>24252</v>
      </c>
      <c r="AH360" s="177" t="s">
        <v>121</v>
      </c>
      <c r="AI360" s="177" t="b">
        <v>1</v>
      </c>
      <c r="AJ360" s="180">
        <v>45681</v>
      </c>
      <c r="AK360" s="177" t="s">
        <v>122</v>
      </c>
      <c r="AL360" s="177" t="s">
        <v>109</v>
      </c>
      <c r="AM360" s="177" t="s">
        <v>109</v>
      </c>
      <c r="AN360" s="179" t="b">
        <v>0</v>
      </c>
      <c r="AO360" s="177" t="s">
        <v>109</v>
      </c>
      <c r="AP360" s="177" t="s">
        <v>109</v>
      </c>
      <c r="AQ360" s="177" t="s">
        <v>109</v>
      </c>
      <c r="AR360" s="177" t="b">
        <v>1</v>
      </c>
      <c r="AS360" s="177" t="s">
        <v>123</v>
      </c>
      <c r="AT360" s="180" t="s">
        <v>109</v>
      </c>
      <c r="AU360" s="177" t="s">
        <v>124</v>
      </c>
      <c r="AV360" s="177" t="s">
        <v>109</v>
      </c>
      <c r="AW360" s="177" t="s">
        <v>195</v>
      </c>
      <c r="AX360" s="177" t="s">
        <v>109</v>
      </c>
      <c r="AY360" s="177" t="s">
        <v>135</v>
      </c>
      <c r="AZ360" s="177" t="s">
        <v>109</v>
      </c>
      <c r="BA360" s="177" t="s">
        <v>494</v>
      </c>
      <c r="BB360" s="177" t="s">
        <v>109</v>
      </c>
      <c r="BC360" s="177" t="s">
        <v>425</v>
      </c>
      <c r="BD360" s="177" t="s">
        <v>109</v>
      </c>
      <c r="BE360" s="181" t="s">
        <v>2498</v>
      </c>
      <c r="BF360" s="180" t="s">
        <v>2499</v>
      </c>
      <c r="BG360" s="180" t="s">
        <v>2500</v>
      </c>
      <c r="BH360" s="177" t="s">
        <v>1738</v>
      </c>
      <c r="BI360" s="177" t="s">
        <v>459</v>
      </c>
      <c r="BJ360" s="177" t="b">
        <v>1</v>
      </c>
      <c r="BK360" s="238">
        <f>21262.23808</f>
        <v>21262.238079999999</v>
      </c>
      <c r="BL360" s="234" t="s">
        <v>128</v>
      </c>
      <c r="BM360" s="256">
        <v>19375.613000000001</v>
      </c>
      <c r="BN360" s="256">
        <v>9.8657793999999992</v>
      </c>
      <c r="BO360" s="256">
        <v>713.09569329999988</v>
      </c>
      <c r="BP360" s="256">
        <v>1066.6294885999998</v>
      </c>
      <c r="BQ360" s="256">
        <v>1525.8893529000002</v>
      </c>
      <c r="BR360" s="256">
        <v>1113.2467620000002</v>
      </c>
      <c r="BS360" s="256">
        <v>228.834824</v>
      </c>
      <c r="BT360" s="256">
        <v>3835.7823410000001</v>
      </c>
      <c r="BU360" s="256">
        <v>10148.435406999999</v>
      </c>
      <c r="BV360" s="256">
        <v>733.83378919999996</v>
      </c>
      <c r="BW360" s="256">
        <v>0</v>
      </c>
      <c r="BX360" s="256">
        <v>0</v>
      </c>
      <c r="BY360" s="255">
        <v>1197.4780000000001</v>
      </c>
      <c r="BZ360" s="236" t="s">
        <v>109</v>
      </c>
      <c r="CA360" s="236" t="s">
        <v>109</v>
      </c>
      <c r="CB360" s="236" t="s">
        <v>842</v>
      </c>
      <c r="CC360" s="256">
        <v>0</v>
      </c>
      <c r="CD360" s="256">
        <v>2.6326000000000001E-3</v>
      </c>
      <c r="CE360" s="256">
        <v>17.0071081</v>
      </c>
      <c r="CF360" s="256">
        <v>2421.2163028999998</v>
      </c>
      <c r="CG360" s="256">
        <v>855.42889200000002</v>
      </c>
      <c r="CH360" s="256">
        <v>166.42880400000001</v>
      </c>
      <c r="CI360" s="256">
        <v>3519.8887411999999</v>
      </c>
      <c r="CJ360" s="177" t="s">
        <v>128</v>
      </c>
      <c r="CK360" s="177" t="s">
        <v>2501</v>
      </c>
      <c r="CL360" s="177">
        <v>7.3</v>
      </c>
      <c r="CM360" s="155" t="s">
        <v>109</v>
      </c>
      <c r="CN360" s="229">
        <v>0</v>
      </c>
      <c r="CO360" s="229">
        <v>1</v>
      </c>
      <c r="CP360" t="s">
        <v>2502</v>
      </c>
      <c r="CR360" s="248"/>
    </row>
    <row r="361" spans="1:96" ht="43.2" x14ac:dyDescent="0.3">
      <c r="A361">
        <v>358</v>
      </c>
      <c r="B361" s="173" t="s">
        <v>2503</v>
      </c>
      <c r="C361" s="259"/>
      <c r="D361" s="260"/>
      <c r="E361" t="s">
        <v>2504</v>
      </c>
      <c r="F361" t="s">
        <v>2505</v>
      </c>
      <c r="G361" s="177" t="s">
        <v>133</v>
      </c>
      <c r="H361" s="177" t="s">
        <v>112</v>
      </c>
      <c r="I361" s="177" t="s">
        <v>112</v>
      </c>
      <c r="J361" s="177" t="s">
        <v>109</v>
      </c>
      <c r="K361" s="177" t="s">
        <v>192</v>
      </c>
      <c r="L361" s="177" t="s">
        <v>207</v>
      </c>
      <c r="M361" s="177" t="s">
        <v>194</v>
      </c>
      <c r="N361" s="177" t="s">
        <v>194</v>
      </c>
      <c r="O361" s="180">
        <v>45789</v>
      </c>
      <c r="P361" s="177" t="s">
        <v>109</v>
      </c>
      <c r="Q361" s="177" t="s">
        <v>109</v>
      </c>
      <c r="R361" s="177" t="s">
        <v>109</v>
      </c>
      <c r="S361" s="177" t="s">
        <v>109</v>
      </c>
      <c r="T361" s="177" t="s">
        <v>109</v>
      </c>
      <c r="U361" s="177" t="s">
        <v>117</v>
      </c>
      <c r="V361" s="177" t="b">
        <v>0</v>
      </c>
      <c r="W361" s="177" t="s">
        <v>109</v>
      </c>
      <c r="X361" s="261"/>
      <c r="Y361" s="177" t="s">
        <v>109</v>
      </c>
      <c r="Z361" s="176" t="s">
        <v>1416</v>
      </c>
      <c r="AA361" s="177" t="s">
        <v>861</v>
      </c>
      <c r="AB361" s="177" t="s">
        <v>201</v>
      </c>
      <c r="AC361" s="177" t="s">
        <v>109</v>
      </c>
      <c r="AD361" s="177" t="s">
        <v>2506</v>
      </c>
      <c r="AE361" s="177" t="s">
        <v>109</v>
      </c>
      <c r="AF361" s="177">
        <v>1</v>
      </c>
      <c r="AG361" s="177">
        <v>25143</v>
      </c>
      <c r="AH361" s="177" t="s">
        <v>121</v>
      </c>
      <c r="AI361" s="177" t="b">
        <v>0</v>
      </c>
      <c r="AJ361" s="180" t="s">
        <v>109</v>
      </c>
      <c r="AK361" s="177" t="s">
        <v>122</v>
      </c>
      <c r="AL361" s="177">
        <v>2025</v>
      </c>
      <c r="AM361" s="177">
        <v>2024</v>
      </c>
      <c r="AN361" s="177" t="b">
        <v>0</v>
      </c>
      <c r="AO361" s="177" t="s">
        <v>2507</v>
      </c>
      <c r="AP361" s="177">
        <v>2024</v>
      </c>
      <c r="AQ361" s="177" t="s">
        <v>2508</v>
      </c>
      <c r="AR361" s="177" t="b">
        <v>0</v>
      </c>
      <c r="AS361" s="177" t="s">
        <v>123</v>
      </c>
      <c r="AT361" s="180" t="s">
        <v>109</v>
      </c>
      <c r="AU361" s="177" t="s">
        <v>124</v>
      </c>
      <c r="AV361" s="177" t="s">
        <v>109</v>
      </c>
      <c r="AW361" s="177" t="s">
        <v>195</v>
      </c>
      <c r="AX361" s="177" t="s">
        <v>109</v>
      </c>
      <c r="AY361" s="177" t="s">
        <v>135</v>
      </c>
      <c r="AZ361" s="177" t="s">
        <v>109</v>
      </c>
      <c r="BA361" s="177" t="s">
        <v>218</v>
      </c>
      <c r="BB361" s="177" t="s">
        <v>109</v>
      </c>
      <c r="BC361" s="177" t="s">
        <v>296</v>
      </c>
      <c r="BD361" s="177" t="s">
        <v>109</v>
      </c>
      <c r="BE361" s="180" t="s">
        <v>109</v>
      </c>
      <c r="BF361" s="180" t="s">
        <v>2509</v>
      </c>
      <c r="BG361" s="180" t="s">
        <v>2510</v>
      </c>
      <c r="BH361" s="177" t="s">
        <v>109</v>
      </c>
      <c r="BI361" s="177" t="s">
        <v>109</v>
      </c>
      <c r="BJ361" s="177" t="b">
        <v>0</v>
      </c>
      <c r="BK361" s="236" t="s">
        <v>118</v>
      </c>
      <c r="BL361" s="234" t="s">
        <v>128</v>
      </c>
      <c r="BM361" s="236">
        <v>49572.300942951602</v>
      </c>
      <c r="BN361" s="236">
        <v>0</v>
      </c>
      <c r="BO361" s="236">
        <v>0</v>
      </c>
      <c r="BP361" s="236">
        <v>0</v>
      </c>
      <c r="BQ361" s="236">
        <v>0</v>
      </c>
      <c r="BR361" s="236">
        <v>0</v>
      </c>
      <c r="BS361" s="236">
        <v>0</v>
      </c>
      <c r="BT361" s="236">
        <v>436.03882729999998</v>
      </c>
      <c r="BU361" s="236">
        <v>1711.6717954999999</v>
      </c>
      <c r="BV361" s="236">
        <v>10736.9891369</v>
      </c>
      <c r="BW361" s="236">
        <v>10815.429409599999</v>
      </c>
      <c r="BX361" s="236">
        <v>10898.6084139</v>
      </c>
      <c r="BY361" s="234">
        <v>14973.563359751606</v>
      </c>
      <c r="BZ361" s="236" t="s">
        <v>109</v>
      </c>
      <c r="CA361" s="236" t="s">
        <v>109</v>
      </c>
      <c r="CB361" s="236" t="s">
        <v>109</v>
      </c>
      <c r="CC361" s="236">
        <v>0</v>
      </c>
      <c r="CD361" s="236">
        <v>0</v>
      </c>
      <c r="CE361" s="236">
        <v>0</v>
      </c>
      <c r="CF361" s="236">
        <v>0</v>
      </c>
      <c r="CG361" s="236">
        <v>0</v>
      </c>
      <c r="CH361" s="236">
        <v>0</v>
      </c>
      <c r="CI361" s="236">
        <v>0</v>
      </c>
      <c r="CJ361" s="237">
        <v>0</v>
      </c>
      <c r="CK361" s="177" t="s">
        <v>128</v>
      </c>
      <c r="CL361" s="177" t="s">
        <v>128</v>
      </c>
      <c r="CM361" s="155" t="s">
        <v>109</v>
      </c>
      <c r="CN361" s="229">
        <v>1</v>
      </c>
      <c r="CO361" s="229">
        <v>0</v>
      </c>
      <c r="CP361" s="138" t="s">
        <v>2511</v>
      </c>
      <c r="CR361" s="248"/>
    </row>
    <row r="362" spans="1:96" ht="14.4" x14ac:dyDescent="0.3">
      <c r="A362">
        <v>359</v>
      </c>
      <c r="B362" s="173" t="s">
        <v>2512</v>
      </c>
      <c r="C362" s="259"/>
      <c r="D362" s="260"/>
      <c r="E362" t="s">
        <v>2513</v>
      </c>
      <c r="F362" t="s">
        <v>2514</v>
      </c>
      <c r="G362" s="177" t="s">
        <v>503</v>
      </c>
      <c r="H362" s="177" t="s">
        <v>112</v>
      </c>
      <c r="I362" s="177" t="s">
        <v>146</v>
      </c>
      <c r="J362" s="177" t="s">
        <v>109</v>
      </c>
      <c r="K362" s="177" t="s">
        <v>192</v>
      </c>
      <c r="L362" s="177" t="s">
        <v>115</v>
      </c>
      <c r="M362" s="177" t="s">
        <v>194</v>
      </c>
      <c r="N362" s="177" t="s">
        <v>194</v>
      </c>
      <c r="O362" s="180" t="s">
        <v>109</v>
      </c>
      <c r="P362" s="177" t="s">
        <v>109</v>
      </c>
      <c r="Q362" s="177" t="s">
        <v>109</v>
      </c>
      <c r="R362" s="177" t="s">
        <v>109</v>
      </c>
      <c r="S362" s="177" t="s">
        <v>109</v>
      </c>
      <c r="T362" s="177" t="s">
        <v>982</v>
      </c>
      <c r="U362" s="177" t="s">
        <v>117</v>
      </c>
      <c r="V362" s="177" t="b">
        <v>0</v>
      </c>
      <c r="W362" s="177" t="s">
        <v>109</v>
      </c>
      <c r="X362" s="261"/>
      <c r="Y362" s="177" t="s">
        <v>1470</v>
      </c>
      <c r="Z362" s="176" t="s">
        <v>2515</v>
      </c>
      <c r="AA362" s="177" t="s">
        <v>215</v>
      </c>
      <c r="AB362" s="177" t="s">
        <v>2516</v>
      </c>
      <c r="AC362" s="177" t="s">
        <v>109</v>
      </c>
      <c r="AD362" s="177" t="s">
        <v>2517</v>
      </c>
      <c r="AE362" s="177" t="s">
        <v>109</v>
      </c>
      <c r="AF362" s="177">
        <v>1</v>
      </c>
      <c r="AG362" s="177">
        <v>25144</v>
      </c>
      <c r="AH362" s="177" t="s">
        <v>121</v>
      </c>
      <c r="AI362" s="177" t="b">
        <v>0</v>
      </c>
      <c r="AJ362" s="180" t="s">
        <v>109</v>
      </c>
      <c r="AK362" s="177" t="s">
        <v>122</v>
      </c>
      <c r="AL362" s="177">
        <v>2025</v>
      </c>
      <c r="AM362" s="177">
        <v>2024</v>
      </c>
      <c r="AN362" s="177" t="b">
        <v>0</v>
      </c>
      <c r="AO362" s="177" t="s">
        <v>2507</v>
      </c>
      <c r="AP362" s="177">
        <v>2024</v>
      </c>
      <c r="AQ362" s="177" t="s">
        <v>2508</v>
      </c>
      <c r="AR362" s="177" t="b">
        <v>0</v>
      </c>
      <c r="AS362" s="177" t="s">
        <v>123</v>
      </c>
      <c r="AT362" s="180" t="s">
        <v>109</v>
      </c>
      <c r="AU362" s="177" t="s">
        <v>491</v>
      </c>
      <c r="AV362" s="177" t="s">
        <v>109</v>
      </c>
      <c r="AW362" s="177" t="s">
        <v>195</v>
      </c>
      <c r="AX362" s="177" t="s">
        <v>109</v>
      </c>
      <c r="AY362" s="177" t="s">
        <v>492</v>
      </c>
      <c r="AZ362" s="177" t="s">
        <v>109</v>
      </c>
      <c r="BA362" s="177" t="s">
        <v>125</v>
      </c>
      <c r="BB362" s="177" t="s">
        <v>123</v>
      </c>
      <c r="BC362" s="177" t="s">
        <v>296</v>
      </c>
      <c r="BD362" s="177" t="s">
        <v>109</v>
      </c>
      <c r="BE362" s="180" t="s">
        <v>109</v>
      </c>
      <c r="BF362" s="180" t="s">
        <v>2518</v>
      </c>
      <c r="BG362" s="180" t="s">
        <v>123</v>
      </c>
      <c r="BH362" s="177" t="s">
        <v>109</v>
      </c>
      <c r="BI362" s="177" t="s">
        <v>109</v>
      </c>
      <c r="BJ362" s="177" t="b">
        <v>0</v>
      </c>
      <c r="BK362" s="236" t="s">
        <v>118</v>
      </c>
      <c r="BL362" s="234" t="s">
        <v>128</v>
      </c>
      <c r="BM362" s="236">
        <v>46253.4707955919</v>
      </c>
      <c r="BN362" s="236">
        <v>0</v>
      </c>
      <c r="BO362" s="236">
        <v>0</v>
      </c>
      <c r="BP362" s="236">
        <v>0</v>
      </c>
      <c r="BQ362" s="236">
        <v>0</v>
      </c>
      <c r="BR362" s="236">
        <v>0</v>
      </c>
      <c r="BS362" s="236">
        <v>0</v>
      </c>
      <c r="BT362" s="236">
        <v>415.87776509999998</v>
      </c>
      <c r="BU362" s="236">
        <v>1596.3569494999999</v>
      </c>
      <c r="BV362" s="236">
        <v>21135.001225100001</v>
      </c>
      <c r="BW362" s="236">
        <v>23106.234855800001</v>
      </c>
      <c r="BX362" s="236">
        <v>0</v>
      </c>
      <c r="BY362" s="234">
        <v>0</v>
      </c>
      <c r="BZ362" s="236" t="s">
        <v>109</v>
      </c>
      <c r="CA362" s="236" t="s">
        <v>109</v>
      </c>
      <c r="CB362" s="236" t="s">
        <v>109</v>
      </c>
      <c r="CC362" s="236">
        <v>0</v>
      </c>
      <c r="CD362" s="236">
        <v>0</v>
      </c>
      <c r="CE362" s="236">
        <v>0</v>
      </c>
      <c r="CF362" s="236">
        <v>0</v>
      </c>
      <c r="CG362" s="236">
        <v>0</v>
      </c>
      <c r="CH362" s="236">
        <v>0</v>
      </c>
      <c r="CI362" s="236">
        <v>0</v>
      </c>
      <c r="CJ362" s="237">
        <v>0</v>
      </c>
      <c r="CK362" s="177" t="s">
        <v>128</v>
      </c>
      <c r="CL362" s="177" t="s">
        <v>128</v>
      </c>
      <c r="CM362" s="155" t="s">
        <v>109</v>
      </c>
      <c r="CN362" s="229">
        <v>0</v>
      </c>
      <c r="CO362" s="229">
        <v>1</v>
      </c>
      <c r="CP362" t="s">
        <v>202</v>
      </c>
      <c r="CR362" s="248"/>
    </row>
    <row r="363" spans="1:96" ht="14.4" x14ac:dyDescent="0.3">
      <c r="A363">
        <v>360</v>
      </c>
      <c r="B363" s="173" t="s">
        <v>2520</v>
      </c>
      <c r="C363" s="259"/>
      <c r="D363" s="260"/>
      <c r="E363" t="s">
        <v>109</v>
      </c>
      <c r="F363" t="s">
        <v>2521</v>
      </c>
      <c r="G363" s="177" t="s">
        <v>245</v>
      </c>
      <c r="H363" s="177" t="s">
        <v>146</v>
      </c>
      <c r="I363" s="177" t="s">
        <v>109</v>
      </c>
      <c r="J363" s="177" t="s">
        <v>109</v>
      </c>
      <c r="K363" s="177" t="s">
        <v>250</v>
      </c>
      <c r="L363" s="177" t="s">
        <v>251</v>
      </c>
      <c r="M363" s="177" t="s">
        <v>109</v>
      </c>
      <c r="N363" s="177" t="s">
        <v>109</v>
      </c>
      <c r="O363" s="180" t="s">
        <v>109</v>
      </c>
      <c r="P363" s="177" t="s">
        <v>917</v>
      </c>
      <c r="Q363" s="177" t="s">
        <v>109</v>
      </c>
      <c r="R363" s="177" t="s">
        <v>109</v>
      </c>
      <c r="S363" s="177" t="s">
        <v>109</v>
      </c>
      <c r="T363" s="177" t="s">
        <v>116</v>
      </c>
      <c r="U363" s="177" t="s">
        <v>117</v>
      </c>
      <c r="V363" s="177" t="b">
        <v>0</v>
      </c>
      <c r="W363" s="177" t="s">
        <v>109</v>
      </c>
      <c r="X363" s="261"/>
      <c r="Y363" s="177" t="s">
        <v>109</v>
      </c>
      <c r="Z363" s="177" t="s">
        <v>109</v>
      </c>
      <c r="AA363" s="177" t="s">
        <v>109</v>
      </c>
      <c r="AB363" s="177" t="s">
        <v>109</v>
      </c>
      <c r="AC363" s="177" t="s">
        <v>109</v>
      </c>
      <c r="AD363" s="177" t="s">
        <v>109</v>
      </c>
      <c r="AE363" s="177" t="s">
        <v>2522</v>
      </c>
      <c r="AF363" s="177">
        <v>1</v>
      </c>
      <c r="AG363" s="177" t="s">
        <v>2523</v>
      </c>
      <c r="AH363" s="177" t="s">
        <v>121</v>
      </c>
      <c r="AI363" s="177" t="b">
        <v>1</v>
      </c>
      <c r="AJ363" s="180">
        <v>43354</v>
      </c>
      <c r="AK363" s="177" t="s">
        <v>122</v>
      </c>
      <c r="AL363" s="177" t="s">
        <v>109</v>
      </c>
      <c r="AM363" s="177" t="s">
        <v>109</v>
      </c>
      <c r="AN363" s="177" t="b">
        <v>0</v>
      </c>
      <c r="AO363" s="177" t="s">
        <v>109</v>
      </c>
      <c r="AP363" s="177" t="s">
        <v>109</v>
      </c>
      <c r="AQ363" s="177" t="s">
        <v>109</v>
      </c>
      <c r="AR363" s="177" t="b">
        <v>0</v>
      </c>
      <c r="AS363" s="177" t="s">
        <v>123</v>
      </c>
      <c r="AT363" s="180" t="s">
        <v>123</v>
      </c>
      <c r="AU363" s="177" t="s">
        <v>124</v>
      </c>
      <c r="AV363" s="177" t="s">
        <v>109</v>
      </c>
      <c r="AW363" s="177" t="s">
        <v>109</v>
      </c>
      <c r="AX363" s="177" t="s">
        <v>109</v>
      </c>
      <c r="AY363" s="177" t="s">
        <v>2524</v>
      </c>
      <c r="AZ363" s="177" t="s">
        <v>2525</v>
      </c>
      <c r="BA363" s="177" t="s">
        <v>494</v>
      </c>
      <c r="BB363" s="177">
        <v>2018</v>
      </c>
      <c r="BC363" s="177" t="s">
        <v>126</v>
      </c>
      <c r="BD363" s="177" t="s">
        <v>109</v>
      </c>
      <c r="BE363" s="180" t="s">
        <v>109</v>
      </c>
      <c r="BF363" s="180" t="s">
        <v>2526</v>
      </c>
      <c r="BG363" s="180" t="s">
        <v>109</v>
      </c>
      <c r="BH363" s="177" t="s">
        <v>109</v>
      </c>
      <c r="BI363" s="177" t="s">
        <v>109</v>
      </c>
      <c r="BJ363" s="250" t="b">
        <v>1</v>
      </c>
      <c r="BK363" s="233">
        <v>187200.951</v>
      </c>
      <c r="BL363" s="234" t="s">
        <v>128</v>
      </c>
      <c r="BM363" s="254">
        <v>30554.234</v>
      </c>
      <c r="BN363" s="254">
        <v>10359.538488900003</v>
      </c>
      <c r="BO363" s="254">
        <v>7032.2980266999994</v>
      </c>
      <c r="BP363" s="254">
        <v>2.6293740000000003</v>
      </c>
      <c r="BQ363" s="254">
        <v>0</v>
      </c>
      <c r="BR363" s="254">
        <v>0</v>
      </c>
      <c r="BS363" s="254">
        <v>0</v>
      </c>
      <c r="BT363" s="254">
        <v>286.54175950000001</v>
      </c>
      <c r="BU363" s="254">
        <v>0</v>
      </c>
      <c r="BV363" s="254">
        <v>0</v>
      </c>
      <c r="BW363" s="254">
        <v>0</v>
      </c>
      <c r="BX363" s="254">
        <v>0</v>
      </c>
      <c r="BY363" s="255">
        <v>0</v>
      </c>
      <c r="BZ363" s="236" t="s">
        <v>109</v>
      </c>
      <c r="CA363" s="236" t="s">
        <v>109</v>
      </c>
      <c r="CB363" s="254" t="s">
        <v>2527</v>
      </c>
      <c r="CC363" s="254">
        <v>65.197132299999993</v>
      </c>
      <c r="CD363" s="254">
        <v>29155.124226399999</v>
      </c>
      <c r="CE363" s="254">
        <v>2.6293740000000003</v>
      </c>
      <c r="CF363" s="254">
        <v>0</v>
      </c>
      <c r="CG363" s="254">
        <v>0</v>
      </c>
      <c r="CH363" s="254">
        <v>0</v>
      </c>
      <c r="CI363" s="254">
        <v>286.54175950000001</v>
      </c>
      <c r="CJ363" s="177" t="s">
        <v>128</v>
      </c>
      <c r="CK363" s="177" t="s">
        <v>128</v>
      </c>
      <c r="CL363" s="177" t="s">
        <v>128</v>
      </c>
      <c r="CM363" s="155" t="s">
        <v>109</v>
      </c>
      <c r="CN363" s="229">
        <v>0</v>
      </c>
      <c r="CO363" s="229">
        <v>0</v>
      </c>
      <c r="CP363" t="s">
        <v>155</v>
      </c>
      <c r="CR363" s="248"/>
    </row>
    <row r="364" spans="1:96" ht="28.8" x14ac:dyDescent="0.3">
      <c r="A364">
        <v>361</v>
      </c>
      <c r="B364" s="173" t="s">
        <v>2528</v>
      </c>
      <c r="C364" s="259"/>
      <c r="D364" s="260"/>
      <c r="E364" t="s">
        <v>191</v>
      </c>
      <c r="F364" t="s">
        <v>2529</v>
      </c>
      <c r="G364" s="177" t="s">
        <v>661</v>
      </c>
      <c r="H364" s="177" t="s">
        <v>112</v>
      </c>
      <c r="I364" s="177" t="s">
        <v>112</v>
      </c>
      <c r="J364" s="177" t="s">
        <v>109</v>
      </c>
      <c r="K364" s="177" t="s">
        <v>662</v>
      </c>
      <c r="L364" s="177" t="s">
        <v>1158</v>
      </c>
      <c r="M364" s="177" t="s">
        <v>109</v>
      </c>
      <c r="N364" s="177" t="s">
        <v>109</v>
      </c>
      <c r="O364" s="180" t="s">
        <v>109</v>
      </c>
      <c r="P364" s="177" t="s">
        <v>109</v>
      </c>
      <c r="Q364" s="177" t="s">
        <v>109</v>
      </c>
      <c r="R364" s="177" t="s">
        <v>109</v>
      </c>
      <c r="S364" s="177" t="s">
        <v>109</v>
      </c>
      <c r="T364" s="177" t="s">
        <v>1671</v>
      </c>
      <c r="U364" s="177" t="s">
        <v>117</v>
      </c>
      <c r="V364" s="177" t="b">
        <v>0</v>
      </c>
      <c r="W364" s="177" t="s">
        <v>109</v>
      </c>
      <c r="X364" s="261"/>
      <c r="Y364" s="177" t="s">
        <v>109</v>
      </c>
      <c r="Z364" s="177" t="s">
        <v>109</v>
      </c>
      <c r="AA364" s="177" t="s">
        <v>119</v>
      </c>
      <c r="AB364" s="177" t="s">
        <v>119</v>
      </c>
      <c r="AC364" s="177" t="s">
        <v>109</v>
      </c>
      <c r="AD364" s="177" t="s">
        <v>109</v>
      </c>
      <c r="AE364" s="177" t="s">
        <v>109</v>
      </c>
      <c r="AF364" s="177">
        <v>1</v>
      </c>
      <c r="AG364" s="177">
        <v>8165</v>
      </c>
      <c r="AH364" s="177" t="s">
        <v>121</v>
      </c>
      <c r="AI364" s="177" t="b">
        <v>1</v>
      </c>
      <c r="AJ364" s="184" t="s">
        <v>2530</v>
      </c>
      <c r="AK364" s="177" t="s">
        <v>122</v>
      </c>
      <c r="AL364" s="177" t="s">
        <v>109</v>
      </c>
      <c r="AM364" s="177" t="s">
        <v>109</v>
      </c>
      <c r="AN364" s="179" t="b">
        <v>0</v>
      </c>
      <c r="AO364" s="177" t="s">
        <v>109</v>
      </c>
      <c r="AP364" s="177" t="s">
        <v>109</v>
      </c>
      <c r="AQ364" s="177" t="s">
        <v>109</v>
      </c>
      <c r="AR364" s="177" t="s">
        <v>531</v>
      </c>
      <c r="AS364" s="177" t="s">
        <v>123</v>
      </c>
      <c r="AT364" s="180" t="s">
        <v>109</v>
      </c>
      <c r="AU364" s="177" t="s">
        <v>124</v>
      </c>
      <c r="AV364" s="177" t="s">
        <v>109</v>
      </c>
      <c r="AW364" s="177" t="s">
        <v>195</v>
      </c>
      <c r="AX364" s="177" t="s">
        <v>109</v>
      </c>
      <c r="AY364" s="177" t="s">
        <v>492</v>
      </c>
      <c r="AZ364" s="180" t="s">
        <v>2531</v>
      </c>
      <c r="BA364" s="177" t="s">
        <v>494</v>
      </c>
      <c r="BB364" s="177" t="s">
        <v>2532</v>
      </c>
      <c r="BC364" s="177" t="s">
        <v>126</v>
      </c>
      <c r="BD364" s="177" t="s">
        <v>109</v>
      </c>
      <c r="BE364" s="181" t="s">
        <v>2533</v>
      </c>
      <c r="BF364" s="180" t="s">
        <v>109</v>
      </c>
      <c r="BG364" s="180">
        <v>44407</v>
      </c>
      <c r="BH364" s="177" t="s">
        <v>109</v>
      </c>
      <c r="BI364" s="177" t="s">
        <v>109</v>
      </c>
      <c r="BJ364" s="177" t="b">
        <v>0</v>
      </c>
      <c r="BK364" s="238">
        <f>984.667</f>
        <v>984.66700000000003</v>
      </c>
      <c r="BL364" s="234" t="s">
        <v>128</v>
      </c>
      <c r="BM364" s="256">
        <v>3463.5097996180039</v>
      </c>
      <c r="BN364" s="256">
        <v>-23818.358462899996</v>
      </c>
      <c r="BO364" s="256">
        <v>4815.3304901000001</v>
      </c>
      <c r="BP364" s="256">
        <v>479.04515989999999</v>
      </c>
      <c r="BQ364" s="256">
        <v>104.4224492</v>
      </c>
      <c r="BR364" s="256">
        <v>13.55838</v>
      </c>
      <c r="BS364" s="256">
        <v>0</v>
      </c>
      <c r="BT364" s="256">
        <v>0</v>
      </c>
      <c r="BU364" s="256">
        <v>0</v>
      </c>
      <c r="BV364" s="256">
        <v>0</v>
      </c>
      <c r="BW364" s="256">
        <v>0</v>
      </c>
      <c r="BX364" s="256">
        <v>0</v>
      </c>
      <c r="BY364" s="255">
        <v>0</v>
      </c>
      <c r="BZ364" s="236" t="s">
        <v>109</v>
      </c>
      <c r="CA364" s="236" t="s">
        <v>109</v>
      </c>
      <c r="CB364" s="256" t="s">
        <v>528</v>
      </c>
      <c r="CC364" s="256">
        <v>-27.190620299999996</v>
      </c>
      <c r="CD364" s="256">
        <v>2858.0987617000001</v>
      </c>
      <c r="CE364" s="256">
        <v>479.04515989999999</v>
      </c>
      <c r="CF364" s="256">
        <v>104.4224492</v>
      </c>
      <c r="CG364" s="256">
        <v>15.814599099999999</v>
      </c>
      <c r="CH364" s="256">
        <v>0</v>
      </c>
      <c r="CI364" s="256">
        <v>0</v>
      </c>
      <c r="CJ364" s="237">
        <v>0</v>
      </c>
      <c r="CK364" s="177" t="s">
        <v>128</v>
      </c>
      <c r="CL364" s="177" t="s">
        <v>128</v>
      </c>
      <c r="CM364" s="155" t="s">
        <v>109</v>
      </c>
      <c r="CN364" s="229">
        <v>0.13550000000000001</v>
      </c>
      <c r="CO364" s="229">
        <v>0.86450000000000005</v>
      </c>
      <c r="CP364" t="s">
        <v>2360</v>
      </c>
      <c r="CR364" s="248"/>
    </row>
    <row r="365" spans="1:96" ht="14.4" x14ac:dyDescent="0.3">
      <c r="A365">
        <v>362</v>
      </c>
      <c r="B365" s="173" t="s">
        <v>2534</v>
      </c>
      <c r="C365" s="259"/>
      <c r="D365" s="260"/>
      <c r="E365" t="s">
        <v>191</v>
      </c>
      <c r="F365" t="s">
        <v>2535</v>
      </c>
      <c r="G365" s="177" t="s">
        <v>111</v>
      </c>
      <c r="H365" s="177" t="s">
        <v>113</v>
      </c>
      <c r="I365" s="177" t="s">
        <v>109</v>
      </c>
      <c r="J365" s="177" t="s">
        <v>109</v>
      </c>
      <c r="K365" s="177" t="s">
        <v>662</v>
      </c>
      <c r="L365" s="177" t="s">
        <v>115</v>
      </c>
      <c r="M365" s="177" t="s">
        <v>109</v>
      </c>
      <c r="N365" s="177" t="s">
        <v>109</v>
      </c>
      <c r="O365" s="180">
        <v>45798</v>
      </c>
      <c r="P365" s="177" t="s">
        <v>2536</v>
      </c>
      <c r="Q365" s="177" t="s">
        <v>109</v>
      </c>
      <c r="R365" s="177" t="s">
        <v>109</v>
      </c>
      <c r="S365" s="177" t="s">
        <v>109</v>
      </c>
      <c r="T365" s="177" t="s">
        <v>982</v>
      </c>
      <c r="U365" s="177" t="s">
        <v>918</v>
      </c>
      <c r="V365" s="177" t="b">
        <v>0</v>
      </c>
      <c r="W365" s="177" t="s">
        <v>109</v>
      </c>
      <c r="X365" s="261"/>
      <c r="Y365" s="177" t="s">
        <v>118</v>
      </c>
      <c r="Z365" s="176">
        <v>0.15</v>
      </c>
      <c r="AA365" s="177">
        <v>69</v>
      </c>
      <c r="AB365" s="177" t="s">
        <v>434</v>
      </c>
      <c r="AC365" s="177">
        <v>1.2</v>
      </c>
      <c r="AD365" s="177" t="s">
        <v>311</v>
      </c>
      <c r="AE365" s="177" t="s">
        <v>1168</v>
      </c>
      <c r="AF365" s="177">
        <v>1</v>
      </c>
      <c r="AG365" s="177">
        <v>15259</v>
      </c>
      <c r="AH365" s="177" t="s">
        <v>121</v>
      </c>
      <c r="AI365" s="177" t="b">
        <v>1</v>
      </c>
      <c r="AJ365" s="180">
        <v>42564</v>
      </c>
      <c r="AK365" s="177" t="s">
        <v>122</v>
      </c>
      <c r="AL365" s="177">
        <v>2019</v>
      </c>
      <c r="AM365" s="177" t="s">
        <v>109</v>
      </c>
      <c r="AN365" s="179" t="b">
        <v>0</v>
      </c>
      <c r="AO365" s="177" t="s">
        <v>109</v>
      </c>
      <c r="AP365" s="177" t="s">
        <v>109</v>
      </c>
      <c r="AQ365" s="177" t="s">
        <v>109</v>
      </c>
      <c r="AR365" s="177" t="b">
        <v>0</v>
      </c>
      <c r="AS365" s="177" t="s">
        <v>123</v>
      </c>
      <c r="AT365" s="180" t="s">
        <v>109</v>
      </c>
      <c r="AU365" s="177" t="s">
        <v>124</v>
      </c>
      <c r="AV365" s="177" t="s">
        <v>109</v>
      </c>
      <c r="AW365" s="177" t="s">
        <v>195</v>
      </c>
      <c r="AX365" s="177" t="s">
        <v>109</v>
      </c>
      <c r="AY365" s="177" t="s">
        <v>135</v>
      </c>
      <c r="AZ365" s="177" t="s">
        <v>109</v>
      </c>
      <c r="BA365" s="177" t="s">
        <v>218</v>
      </c>
      <c r="BB365" s="177" t="s">
        <v>109</v>
      </c>
      <c r="BC365" s="177" t="s">
        <v>126</v>
      </c>
      <c r="BD365" s="177" t="s">
        <v>109</v>
      </c>
      <c r="BE365" s="181" t="s">
        <v>2537</v>
      </c>
      <c r="BF365" s="180" t="s">
        <v>109</v>
      </c>
      <c r="BG365" s="180" t="s">
        <v>2538</v>
      </c>
      <c r="BH365" s="177" t="s">
        <v>109</v>
      </c>
      <c r="BI365" s="177" t="s">
        <v>109</v>
      </c>
      <c r="BJ365" s="177" t="b">
        <v>0</v>
      </c>
      <c r="BK365" s="236" t="s">
        <v>118</v>
      </c>
      <c r="BL365" s="234" t="s">
        <v>128</v>
      </c>
      <c r="BM365" s="236">
        <v>7.3616421860000001</v>
      </c>
      <c r="BN365" s="236">
        <v>4.3176585999999997</v>
      </c>
      <c r="BO365" s="236">
        <v>2.4631394000000002</v>
      </c>
      <c r="BP365" s="236">
        <v>0</v>
      </c>
      <c r="BQ365" s="236">
        <v>0</v>
      </c>
      <c r="BR365" s="236">
        <v>0</v>
      </c>
      <c r="BS365" s="236">
        <v>0</v>
      </c>
      <c r="BT365" s="236">
        <v>0</v>
      </c>
      <c r="BU365" s="236">
        <v>0</v>
      </c>
      <c r="BV365" s="236">
        <v>0</v>
      </c>
      <c r="BW365" s="236">
        <v>0</v>
      </c>
      <c r="BX365" s="236">
        <v>0</v>
      </c>
      <c r="BY365" s="234">
        <v>0</v>
      </c>
      <c r="BZ365" s="236" t="s">
        <v>109</v>
      </c>
      <c r="CA365" s="236" t="s">
        <v>109</v>
      </c>
      <c r="CB365" s="236">
        <v>2021</v>
      </c>
      <c r="CC365" s="236">
        <v>0</v>
      </c>
      <c r="CD365" s="236">
        <v>7.3616422000000004</v>
      </c>
      <c r="CE365" s="236">
        <v>0</v>
      </c>
      <c r="CF365" s="236">
        <v>0</v>
      </c>
      <c r="CG365" s="236">
        <v>0</v>
      </c>
      <c r="CH365" s="236">
        <v>0</v>
      </c>
      <c r="CI365" s="236">
        <v>0</v>
      </c>
      <c r="CJ365" s="237">
        <v>0</v>
      </c>
      <c r="CK365" s="177" t="s">
        <v>128</v>
      </c>
      <c r="CL365" s="177" t="s">
        <v>128</v>
      </c>
      <c r="CM365" s="155" t="s">
        <v>109</v>
      </c>
      <c r="CN365" s="229">
        <v>0</v>
      </c>
      <c r="CO365" s="229">
        <v>1</v>
      </c>
      <c r="CP365" t="s">
        <v>480</v>
      </c>
      <c r="CR365" s="248"/>
    </row>
    <row r="366" spans="1:96" ht="14.4" x14ac:dyDescent="0.3">
      <c r="A366">
        <v>363</v>
      </c>
      <c r="B366" s="173" t="s">
        <v>2539</v>
      </c>
      <c r="C366" s="259"/>
      <c r="D366" s="260"/>
      <c r="E366" t="s">
        <v>329</v>
      </c>
      <c r="F366" t="s">
        <v>566</v>
      </c>
      <c r="G366" s="177" t="s">
        <v>111</v>
      </c>
      <c r="H366" s="177" t="s">
        <v>112</v>
      </c>
      <c r="I366" s="177" t="s">
        <v>112</v>
      </c>
      <c r="J366" s="177" t="s">
        <v>109</v>
      </c>
      <c r="K366" s="177" t="s">
        <v>114</v>
      </c>
      <c r="L366" s="177" t="s">
        <v>193</v>
      </c>
      <c r="M366" s="177" t="s">
        <v>194</v>
      </c>
      <c r="N366" s="177" t="s">
        <v>194</v>
      </c>
      <c r="O366" s="180">
        <v>45692</v>
      </c>
      <c r="P366" s="177" t="s">
        <v>109</v>
      </c>
      <c r="Q366" s="177" t="s">
        <v>109</v>
      </c>
      <c r="R366" s="177" t="s">
        <v>109</v>
      </c>
      <c r="S366" s="177" t="s">
        <v>109</v>
      </c>
      <c r="T366" s="177" t="s">
        <v>116</v>
      </c>
      <c r="U366" s="177" t="s">
        <v>117</v>
      </c>
      <c r="V366" s="177" t="b">
        <v>0</v>
      </c>
      <c r="W366" s="177" t="s">
        <v>109</v>
      </c>
      <c r="X366" s="261"/>
      <c r="Y366" s="177">
        <v>1.84</v>
      </c>
      <c r="Z366" s="177" t="s">
        <v>118</v>
      </c>
      <c r="AA366" s="177" t="s">
        <v>201</v>
      </c>
      <c r="AB366" s="177" t="s">
        <v>434</v>
      </c>
      <c r="AC366" s="177">
        <v>1.2</v>
      </c>
      <c r="AD366" s="177" t="s">
        <v>567</v>
      </c>
      <c r="AE366" s="177" t="s">
        <v>1564</v>
      </c>
      <c r="AF366" s="177">
        <v>1</v>
      </c>
      <c r="AG366" s="177">
        <v>19134</v>
      </c>
      <c r="AH366" s="177" t="s">
        <v>121</v>
      </c>
      <c r="AI366" s="177" t="b">
        <v>1</v>
      </c>
      <c r="AJ366" s="180">
        <v>43846</v>
      </c>
      <c r="AK366" s="177" t="s">
        <v>122</v>
      </c>
      <c r="AL366" s="177">
        <v>2019</v>
      </c>
      <c r="AM366" s="177" t="s">
        <v>109</v>
      </c>
      <c r="AN366" s="179" t="b">
        <v>0</v>
      </c>
      <c r="AO366" s="177" t="s">
        <v>109</v>
      </c>
      <c r="AP366" s="177" t="s">
        <v>109</v>
      </c>
      <c r="AQ366" s="177" t="s">
        <v>109</v>
      </c>
      <c r="AR366" s="177" t="b">
        <v>0</v>
      </c>
      <c r="AS366" s="177" t="s">
        <v>123</v>
      </c>
      <c r="AT366" s="180" t="s">
        <v>109</v>
      </c>
      <c r="AU366" s="177" t="s">
        <v>124</v>
      </c>
      <c r="AV366" s="177" t="s">
        <v>109</v>
      </c>
      <c r="AW366" s="177" t="s">
        <v>195</v>
      </c>
      <c r="AX366" s="177" t="s">
        <v>109</v>
      </c>
      <c r="AY366" s="177" t="s">
        <v>135</v>
      </c>
      <c r="AZ366" s="177" t="s">
        <v>109</v>
      </c>
      <c r="BA366" s="177" t="s">
        <v>218</v>
      </c>
      <c r="BB366" s="177" t="s">
        <v>109</v>
      </c>
      <c r="BC366" s="177" t="s">
        <v>397</v>
      </c>
      <c r="BD366" s="177" t="s">
        <v>109</v>
      </c>
      <c r="BE366" s="180" t="s">
        <v>109</v>
      </c>
      <c r="BF366" s="180">
        <v>44905</v>
      </c>
      <c r="BG366" s="180" t="s">
        <v>109</v>
      </c>
      <c r="BH366" s="177" t="s">
        <v>109</v>
      </c>
      <c r="BI366" s="177" t="s">
        <v>109</v>
      </c>
      <c r="BJ366" s="177" t="b">
        <v>1</v>
      </c>
      <c r="BK366" s="238">
        <f>97.606</f>
        <v>97.605999999999995</v>
      </c>
      <c r="BL366" s="234" t="s">
        <v>128</v>
      </c>
      <c r="BM366" s="236">
        <v>1.085989638</v>
      </c>
      <c r="BN366" s="236">
        <v>1.0246265000000001</v>
      </c>
      <c r="BO366" s="236">
        <v>1.33814E-2</v>
      </c>
      <c r="BP366" s="236">
        <v>1.4472499999999999E-2</v>
      </c>
      <c r="BQ366" s="236">
        <v>1.4475200000000001E-2</v>
      </c>
      <c r="BR366" s="236">
        <v>1.5154000000000001E-2</v>
      </c>
      <c r="BS366" s="236">
        <v>3.8800000000000002E-3</v>
      </c>
      <c r="BT366" s="236">
        <v>0</v>
      </c>
      <c r="BU366" s="236">
        <v>0</v>
      </c>
      <c r="BV366" s="236">
        <v>0</v>
      </c>
      <c r="BW366" s="236">
        <v>0</v>
      </c>
      <c r="BX366" s="236">
        <v>0</v>
      </c>
      <c r="BY366" s="234">
        <v>0</v>
      </c>
      <c r="BZ366" s="236" t="s">
        <v>109</v>
      </c>
      <c r="CA366" s="236" t="s">
        <v>109</v>
      </c>
      <c r="CB366" s="236">
        <v>2025</v>
      </c>
      <c r="CC366" s="236">
        <v>0</v>
      </c>
      <c r="CD366" s="236">
        <v>0</v>
      </c>
      <c r="CE366" s="236">
        <v>0</v>
      </c>
      <c r="CF366" s="236">
        <v>0</v>
      </c>
      <c r="CG366" s="236">
        <v>0</v>
      </c>
      <c r="CH366" s="236">
        <v>0</v>
      </c>
      <c r="CI366" s="236">
        <v>1.0859896</v>
      </c>
      <c r="CJ366" s="177" t="s">
        <v>128</v>
      </c>
      <c r="CK366" s="177" t="s">
        <v>128</v>
      </c>
      <c r="CL366" s="177" t="s">
        <v>128</v>
      </c>
      <c r="CM366" s="155" t="s">
        <v>109</v>
      </c>
      <c r="CN366" s="229">
        <v>1</v>
      </c>
      <c r="CO366" s="229">
        <v>0</v>
      </c>
      <c r="CP366" t="s">
        <v>1006</v>
      </c>
      <c r="CR366" s="248"/>
    </row>
    <row r="367" spans="1:96" ht="14.4" x14ac:dyDescent="0.3">
      <c r="A367">
        <v>364</v>
      </c>
      <c r="B367" s="173" t="s">
        <v>651</v>
      </c>
      <c r="C367" s="259"/>
      <c r="D367" s="260"/>
      <c r="E367" t="s">
        <v>353</v>
      </c>
      <c r="F367" t="s">
        <v>2540</v>
      </c>
      <c r="G367" s="177" t="s">
        <v>111</v>
      </c>
      <c r="H367" s="177" t="s">
        <v>112</v>
      </c>
      <c r="I367" s="177" t="s">
        <v>112</v>
      </c>
      <c r="J367" s="177" t="s">
        <v>109</v>
      </c>
      <c r="K367" s="177" t="s">
        <v>114</v>
      </c>
      <c r="L367" s="177" t="s">
        <v>193</v>
      </c>
      <c r="M367" s="177" t="s">
        <v>109</v>
      </c>
      <c r="N367" s="177" t="s">
        <v>109</v>
      </c>
      <c r="O367" s="180">
        <v>45687</v>
      </c>
      <c r="P367" s="177" t="s">
        <v>109</v>
      </c>
      <c r="Q367" s="177" t="s">
        <v>109</v>
      </c>
      <c r="R367" s="177" t="s">
        <v>109</v>
      </c>
      <c r="S367" s="177" t="s">
        <v>109</v>
      </c>
      <c r="T367" s="177" t="s">
        <v>116</v>
      </c>
      <c r="U367" s="177" t="s">
        <v>117</v>
      </c>
      <c r="V367" s="177" t="b">
        <v>0</v>
      </c>
      <c r="W367" s="177" t="s">
        <v>109</v>
      </c>
      <c r="X367" s="261"/>
      <c r="Y367" s="177">
        <v>4.3499999999999996</v>
      </c>
      <c r="Z367" s="177" t="s">
        <v>118</v>
      </c>
      <c r="AA367" s="177" t="s">
        <v>373</v>
      </c>
      <c r="AB367" s="177" t="s">
        <v>434</v>
      </c>
      <c r="AC367" s="177">
        <v>1.2</v>
      </c>
      <c r="AD367" s="177" t="s">
        <v>654</v>
      </c>
      <c r="AE367" s="177" t="s">
        <v>1564</v>
      </c>
      <c r="AF367" s="177">
        <v>1</v>
      </c>
      <c r="AG367" s="177">
        <v>19134</v>
      </c>
      <c r="AH367" s="177" t="s">
        <v>121</v>
      </c>
      <c r="AI367" s="177" t="b">
        <v>1</v>
      </c>
      <c r="AJ367" s="180">
        <v>44575</v>
      </c>
      <c r="AK367" s="177" t="s">
        <v>122</v>
      </c>
      <c r="AL367" s="177">
        <v>2024</v>
      </c>
      <c r="AM367" s="177" t="s">
        <v>109</v>
      </c>
      <c r="AN367" s="179" t="b">
        <v>0</v>
      </c>
      <c r="AO367" s="177" t="s">
        <v>109</v>
      </c>
      <c r="AP367" s="177" t="s">
        <v>109</v>
      </c>
      <c r="AQ367" s="177" t="s">
        <v>109</v>
      </c>
      <c r="AR367" s="177" t="b">
        <v>0</v>
      </c>
      <c r="AS367" s="177" t="s">
        <v>123</v>
      </c>
      <c r="AT367" s="180" t="s">
        <v>109</v>
      </c>
      <c r="AU367" s="177" t="s">
        <v>124</v>
      </c>
      <c r="AV367" s="177" t="s">
        <v>109</v>
      </c>
      <c r="AW367" s="177" t="s">
        <v>195</v>
      </c>
      <c r="AX367" s="177" t="s">
        <v>109</v>
      </c>
      <c r="AY367" s="177" t="s">
        <v>135</v>
      </c>
      <c r="AZ367" s="177" t="s">
        <v>109</v>
      </c>
      <c r="BA367" s="177" t="s">
        <v>218</v>
      </c>
      <c r="BB367" s="177" t="s">
        <v>109</v>
      </c>
      <c r="BC367" s="177" t="s">
        <v>397</v>
      </c>
      <c r="BD367" s="177" t="s">
        <v>109</v>
      </c>
      <c r="BE367" s="180" t="s">
        <v>109</v>
      </c>
      <c r="BF367" s="180" t="s">
        <v>109</v>
      </c>
      <c r="BG367" s="180" t="s">
        <v>109</v>
      </c>
      <c r="BH367" s="177" t="s">
        <v>109</v>
      </c>
      <c r="BI367" s="177" t="s">
        <v>109</v>
      </c>
      <c r="BJ367" s="177" t="b">
        <v>1</v>
      </c>
      <c r="BK367" s="238">
        <f>252.27732</f>
        <v>252.27732</v>
      </c>
      <c r="BL367" s="234" t="s">
        <v>128</v>
      </c>
      <c r="BM367" s="236">
        <v>8.7396273277849694</v>
      </c>
      <c r="BN367" s="236">
        <v>0</v>
      </c>
      <c r="BO367" s="236">
        <v>0</v>
      </c>
      <c r="BP367" s="236">
        <v>0</v>
      </c>
      <c r="BQ367" s="236">
        <v>0</v>
      </c>
      <c r="BR367" s="236">
        <v>8.0133100000000006</v>
      </c>
      <c r="BS367" s="236">
        <v>0.17729</v>
      </c>
      <c r="BT367" s="236">
        <v>0.5490273</v>
      </c>
      <c r="BU367" s="236">
        <v>0</v>
      </c>
      <c r="BV367" s="236">
        <v>0</v>
      </c>
      <c r="BW367" s="236">
        <v>0</v>
      </c>
      <c r="BX367" s="236">
        <v>0</v>
      </c>
      <c r="BY367" s="234">
        <v>0</v>
      </c>
      <c r="BZ367" s="236" t="s">
        <v>109</v>
      </c>
      <c r="CA367" s="236" t="s">
        <v>109</v>
      </c>
      <c r="CB367" s="236">
        <v>2025</v>
      </c>
      <c r="CC367" s="236">
        <v>0</v>
      </c>
      <c r="CD367" s="236">
        <v>0</v>
      </c>
      <c r="CE367" s="236">
        <v>0</v>
      </c>
      <c r="CF367" s="236">
        <v>0</v>
      </c>
      <c r="CG367" s="236">
        <v>0</v>
      </c>
      <c r="CH367" s="236">
        <v>0</v>
      </c>
      <c r="CI367" s="236">
        <v>8.7396273000000004</v>
      </c>
      <c r="CJ367" s="177" t="s">
        <v>128</v>
      </c>
      <c r="CK367" s="177" t="s">
        <v>128</v>
      </c>
      <c r="CL367" s="177" t="s">
        <v>128</v>
      </c>
      <c r="CM367" s="155" t="s">
        <v>109</v>
      </c>
      <c r="CN367" s="229">
        <v>0</v>
      </c>
      <c r="CO367" s="229">
        <v>1</v>
      </c>
      <c r="CP367" t="s">
        <v>480</v>
      </c>
      <c r="CR367" s="248"/>
    </row>
    <row r="368" spans="1:96" ht="14.4" x14ac:dyDescent="0.3">
      <c r="A368">
        <v>365</v>
      </c>
      <c r="B368" s="173" t="s">
        <v>2541</v>
      </c>
      <c r="C368" s="259"/>
      <c r="D368" s="260"/>
      <c r="E368" t="s">
        <v>410</v>
      </c>
      <c r="F368" t="s">
        <v>2542</v>
      </c>
      <c r="G368" s="177" t="s">
        <v>111</v>
      </c>
      <c r="H368" s="177" t="s">
        <v>113</v>
      </c>
      <c r="I368" s="177" t="s">
        <v>109</v>
      </c>
      <c r="J368" s="177" t="s">
        <v>109</v>
      </c>
      <c r="K368" s="177" t="s">
        <v>114</v>
      </c>
      <c r="L368" s="177" t="s">
        <v>432</v>
      </c>
      <c r="M368" s="177" t="s">
        <v>194</v>
      </c>
      <c r="N368" s="177" t="s">
        <v>109</v>
      </c>
      <c r="O368" s="180">
        <v>45758</v>
      </c>
      <c r="P368" s="177" t="s">
        <v>109</v>
      </c>
      <c r="Q368" s="177" t="s">
        <v>109</v>
      </c>
      <c r="R368" s="177" t="s">
        <v>109</v>
      </c>
      <c r="S368" s="177" t="s">
        <v>109</v>
      </c>
      <c r="T368" s="177" t="s">
        <v>116</v>
      </c>
      <c r="U368" s="177" t="s">
        <v>117</v>
      </c>
      <c r="V368" s="177" t="b">
        <v>0</v>
      </c>
      <c r="W368" s="177" t="s">
        <v>109</v>
      </c>
      <c r="X368" s="261"/>
      <c r="Y368" s="177" t="s">
        <v>118</v>
      </c>
      <c r="Z368" s="176">
        <v>2.78</v>
      </c>
      <c r="AA368" s="177" t="s">
        <v>861</v>
      </c>
      <c r="AB368" s="177" t="s">
        <v>434</v>
      </c>
      <c r="AC368" s="177">
        <v>2.1</v>
      </c>
      <c r="AD368" s="177" t="s">
        <v>862</v>
      </c>
      <c r="AE368" s="177" t="s">
        <v>435</v>
      </c>
      <c r="AF368" s="177">
        <v>1</v>
      </c>
      <c r="AG368" s="177">
        <v>3171</v>
      </c>
      <c r="AH368" s="177" t="s">
        <v>121</v>
      </c>
      <c r="AI368" s="177" t="b">
        <v>1</v>
      </c>
      <c r="AJ368" s="180">
        <v>44732</v>
      </c>
      <c r="AK368" s="177" t="s">
        <v>122</v>
      </c>
      <c r="AL368" s="177">
        <v>2023</v>
      </c>
      <c r="AM368" s="177" t="s">
        <v>109</v>
      </c>
      <c r="AN368" s="179" t="b">
        <v>0</v>
      </c>
      <c r="AO368" s="177" t="s">
        <v>109</v>
      </c>
      <c r="AP368" s="177" t="s">
        <v>109</v>
      </c>
      <c r="AQ368" s="177" t="s">
        <v>109</v>
      </c>
      <c r="AR368" s="177" t="b">
        <v>0</v>
      </c>
      <c r="AS368" s="177" t="s">
        <v>123</v>
      </c>
      <c r="AT368" s="180" t="s">
        <v>109</v>
      </c>
      <c r="AU368" s="177" t="s">
        <v>124</v>
      </c>
      <c r="AV368" s="177" t="s">
        <v>109</v>
      </c>
      <c r="AW368" s="177" t="s">
        <v>195</v>
      </c>
      <c r="AX368" s="177" t="s">
        <v>109</v>
      </c>
      <c r="AY368" s="177" t="s">
        <v>135</v>
      </c>
      <c r="AZ368" s="177" t="s">
        <v>109</v>
      </c>
      <c r="BA368" s="177" t="s">
        <v>218</v>
      </c>
      <c r="BB368" s="177" t="s">
        <v>109</v>
      </c>
      <c r="BC368" s="177" t="s">
        <v>296</v>
      </c>
      <c r="BD368" s="177" t="s">
        <v>109</v>
      </c>
      <c r="BE368" s="181" t="s">
        <v>2543</v>
      </c>
      <c r="BF368" s="180" t="s">
        <v>109</v>
      </c>
      <c r="BG368" s="180" t="s">
        <v>2544</v>
      </c>
      <c r="BH368" s="177" t="s">
        <v>109</v>
      </c>
      <c r="BI368" s="177" t="s">
        <v>109</v>
      </c>
      <c r="BJ368" s="177" t="b">
        <v>1</v>
      </c>
      <c r="BK368" s="238">
        <f>123.18194</f>
        <v>123.18194</v>
      </c>
      <c r="BL368" s="234" t="s">
        <v>128</v>
      </c>
      <c r="BM368" s="236">
        <v>988.86086630372904</v>
      </c>
      <c r="BN368" s="236">
        <v>0</v>
      </c>
      <c r="BO368" s="236">
        <v>0</v>
      </c>
      <c r="BP368" s="236">
        <v>80.041342200000003</v>
      </c>
      <c r="BQ368" s="236">
        <v>419.8221332</v>
      </c>
      <c r="BR368" s="236">
        <v>337.93320799999998</v>
      </c>
      <c r="BS368" s="236">
        <v>54.701231999999997</v>
      </c>
      <c r="BT368" s="236">
        <v>96.362950900000001</v>
      </c>
      <c r="BU368" s="236">
        <v>0</v>
      </c>
      <c r="BV368" s="236">
        <v>0</v>
      </c>
      <c r="BW368" s="236">
        <v>0</v>
      </c>
      <c r="BX368" s="236">
        <v>0</v>
      </c>
      <c r="BY368" s="234">
        <v>0</v>
      </c>
      <c r="BZ368" s="236" t="s">
        <v>109</v>
      </c>
      <c r="CA368" s="236" t="s">
        <v>109</v>
      </c>
      <c r="CB368" s="236" t="s">
        <v>154</v>
      </c>
      <c r="CC368" s="236">
        <v>0</v>
      </c>
      <c r="CD368" s="236">
        <v>0</v>
      </c>
      <c r="CE368" s="236">
        <v>0</v>
      </c>
      <c r="CF368" s="236">
        <v>499.86347540000003</v>
      </c>
      <c r="CG368" s="236">
        <v>337.93320799999998</v>
      </c>
      <c r="CH368" s="236">
        <v>54.701231999999997</v>
      </c>
      <c r="CI368" s="236">
        <v>96.362950900000001</v>
      </c>
      <c r="CJ368" s="237">
        <v>0</v>
      </c>
      <c r="CK368" s="177" t="s">
        <v>128</v>
      </c>
      <c r="CL368" s="177" t="s">
        <v>128</v>
      </c>
      <c r="CM368" s="155" t="s">
        <v>109</v>
      </c>
      <c r="CN368" s="229">
        <v>1</v>
      </c>
      <c r="CO368" s="229">
        <v>0</v>
      </c>
      <c r="CP368" t="s">
        <v>2493</v>
      </c>
      <c r="CR368" s="248"/>
    </row>
    <row r="369" spans="1:96" ht="14.4" x14ac:dyDescent="0.3">
      <c r="A369">
        <v>366</v>
      </c>
      <c r="B369" s="173" t="s">
        <v>2545</v>
      </c>
      <c r="C369" s="259"/>
      <c r="D369" s="260"/>
      <c r="E369" t="s">
        <v>329</v>
      </c>
      <c r="F369" t="s">
        <v>2546</v>
      </c>
      <c r="G369" s="177" t="s">
        <v>111</v>
      </c>
      <c r="H369" s="177" t="s">
        <v>113</v>
      </c>
      <c r="I369" s="177" t="s">
        <v>109</v>
      </c>
      <c r="J369" s="177" t="s">
        <v>109</v>
      </c>
      <c r="K369" s="177" t="s">
        <v>114</v>
      </c>
      <c r="L369" s="177" t="s">
        <v>159</v>
      </c>
      <c r="M369" s="177" t="s">
        <v>109</v>
      </c>
      <c r="N369" s="177" t="s">
        <v>109</v>
      </c>
      <c r="O369" s="180">
        <v>45778</v>
      </c>
      <c r="P369" s="177" t="s">
        <v>109</v>
      </c>
      <c r="Q369" s="177" t="s">
        <v>109</v>
      </c>
      <c r="R369" s="177" t="s">
        <v>109</v>
      </c>
      <c r="S369" s="177" t="s">
        <v>109</v>
      </c>
      <c r="T369" s="177" t="s">
        <v>116</v>
      </c>
      <c r="U369" s="177" t="s">
        <v>117</v>
      </c>
      <c r="V369" s="177" t="b">
        <v>0</v>
      </c>
      <c r="W369" s="177" t="s">
        <v>109</v>
      </c>
      <c r="X369" s="261"/>
      <c r="Y369" s="177" t="s">
        <v>118</v>
      </c>
      <c r="Z369" s="176">
        <v>0.35</v>
      </c>
      <c r="AA369" s="177" t="s">
        <v>215</v>
      </c>
      <c r="AB369" s="177" t="s">
        <v>434</v>
      </c>
      <c r="AC369" s="177">
        <v>4.3</v>
      </c>
      <c r="AD369" s="177" t="s">
        <v>1248</v>
      </c>
      <c r="AE369" s="177" t="s">
        <v>1319</v>
      </c>
      <c r="AF369" s="177">
        <v>1</v>
      </c>
      <c r="AG369" s="177">
        <v>16138</v>
      </c>
      <c r="AH369" s="177" t="s">
        <v>121</v>
      </c>
      <c r="AI369" s="177" t="b">
        <v>1</v>
      </c>
      <c r="AJ369" s="180">
        <v>44063</v>
      </c>
      <c r="AK369" s="177" t="s">
        <v>122</v>
      </c>
      <c r="AL369" s="177">
        <v>2021</v>
      </c>
      <c r="AM369" s="177" t="s">
        <v>109</v>
      </c>
      <c r="AN369" s="179" t="b">
        <v>0</v>
      </c>
      <c r="AO369" s="177" t="s">
        <v>109</v>
      </c>
      <c r="AP369" s="177" t="s">
        <v>109</v>
      </c>
      <c r="AQ369" s="177" t="s">
        <v>109</v>
      </c>
      <c r="AR369" s="177" t="b">
        <v>0</v>
      </c>
      <c r="AS369" s="177" t="s">
        <v>123</v>
      </c>
      <c r="AT369" s="180" t="s">
        <v>109</v>
      </c>
      <c r="AU369" s="177" t="s">
        <v>124</v>
      </c>
      <c r="AV369" s="177" t="s">
        <v>109</v>
      </c>
      <c r="AW369" s="177" t="s">
        <v>195</v>
      </c>
      <c r="AX369" s="177" t="s">
        <v>109</v>
      </c>
      <c r="AY369" s="177" t="s">
        <v>135</v>
      </c>
      <c r="AZ369" s="177" t="s">
        <v>109</v>
      </c>
      <c r="BA369" s="177" t="s">
        <v>218</v>
      </c>
      <c r="BB369" s="177" t="s">
        <v>109</v>
      </c>
      <c r="BC369" s="177" t="s">
        <v>126</v>
      </c>
      <c r="BD369" s="177" t="s">
        <v>109</v>
      </c>
      <c r="BE369" s="181" t="s">
        <v>1249</v>
      </c>
      <c r="BF369" s="180" t="s">
        <v>1250</v>
      </c>
      <c r="BG369" s="180" t="s">
        <v>1250</v>
      </c>
      <c r="BH369" s="177" t="s">
        <v>109</v>
      </c>
      <c r="BI369" s="177" t="s">
        <v>109</v>
      </c>
      <c r="BJ369" s="177" t="b">
        <v>0</v>
      </c>
      <c r="BK369" s="238">
        <f>211.161</f>
        <v>211.161</v>
      </c>
      <c r="BL369" s="234" t="s">
        <v>128</v>
      </c>
      <c r="BM369" s="236">
        <v>163.01319803000001</v>
      </c>
      <c r="BN369" s="236">
        <v>68.501104900000001</v>
      </c>
      <c r="BO369" s="236">
        <v>143.97154309999999</v>
      </c>
      <c r="BP369" s="236">
        <v>-51.539900000000003</v>
      </c>
      <c r="BQ369" s="236">
        <v>2.0804499999999999</v>
      </c>
      <c r="BR369" s="236">
        <v>0</v>
      </c>
      <c r="BS369" s="236">
        <v>0</v>
      </c>
      <c r="BT369" s="236">
        <v>0</v>
      </c>
      <c r="BU369" s="236">
        <v>0</v>
      </c>
      <c r="BV369" s="236">
        <v>0</v>
      </c>
      <c r="BW369" s="236">
        <v>0</v>
      </c>
      <c r="BX369" s="236">
        <v>0</v>
      </c>
      <c r="BY369" s="234">
        <v>0</v>
      </c>
      <c r="BZ369" s="236" t="s">
        <v>109</v>
      </c>
      <c r="CA369" s="236" t="s">
        <v>109</v>
      </c>
      <c r="CB369" s="236" t="s">
        <v>2547</v>
      </c>
      <c r="CC369" s="236">
        <v>0</v>
      </c>
      <c r="CD369" s="236">
        <v>5.6177999999999999E-2</v>
      </c>
      <c r="CE369" s="236">
        <v>0</v>
      </c>
      <c r="CF369" s="236">
        <v>162.95702</v>
      </c>
      <c r="CG369" s="236">
        <v>0</v>
      </c>
      <c r="CH369" s="236">
        <v>0</v>
      </c>
      <c r="CI369" s="236">
        <v>0</v>
      </c>
      <c r="CJ369" s="237">
        <v>0</v>
      </c>
      <c r="CK369" s="177" t="s">
        <v>128</v>
      </c>
      <c r="CL369" s="177" t="s">
        <v>128</v>
      </c>
      <c r="CM369" s="155" t="s">
        <v>109</v>
      </c>
      <c r="CN369" s="229">
        <v>0</v>
      </c>
      <c r="CO369" s="229">
        <v>1</v>
      </c>
      <c r="CP369" t="s">
        <v>449</v>
      </c>
      <c r="CR369" s="248"/>
    </row>
    <row r="370" spans="1:96" ht="14.4" x14ac:dyDescent="0.3">
      <c r="A370">
        <v>367</v>
      </c>
      <c r="B370" s="173" t="s">
        <v>2548</v>
      </c>
      <c r="C370" s="259"/>
      <c r="D370" s="260"/>
      <c r="E370" t="s">
        <v>329</v>
      </c>
      <c r="F370" t="s">
        <v>2549</v>
      </c>
      <c r="G370" s="177" t="s">
        <v>111</v>
      </c>
      <c r="H370" s="177" t="s">
        <v>113</v>
      </c>
      <c r="I370" s="177" t="s">
        <v>109</v>
      </c>
      <c r="J370" s="177" t="s">
        <v>109</v>
      </c>
      <c r="K370" s="177" t="s">
        <v>114</v>
      </c>
      <c r="L370" s="177" t="s">
        <v>159</v>
      </c>
      <c r="M370" s="177" t="s">
        <v>109</v>
      </c>
      <c r="N370" s="177" t="s">
        <v>109</v>
      </c>
      <c r="O370" s="180">
        <v>45778</v>
      </c>
      <c r="P370" s="177" t="s">
        <v>109</v>
      </c>
      <c r="Q370" s="177" t="s">
        <v>109</v>
      </c>
      <c r="R370" s="177" t="s">
        <v>109</v>
      </c>
      <c r="S370" s="177" t="s">
        <v>109</v>
      </c>
      <c r="T370" s="177" t="s">
        <v>116</v>
      </c>
      <c r="U370" s="177" t="s">
        <v>117</v>
      </c>
      <c r="V370" s="177" t="b">
        <v>0</v>
      </c>
      <c r="W370" s="177" t="s">
        <v>109</v>
      </c>
      <c r="X370" s="261"/>
      <c r="Y370" s="177" t="s">
        <v>118</v>
      </c>
      <c r="Z370" s="176">
        <v>0.35</v>
      </c>
      <c r="AA370" s="177" t="s">
        <v>215</v>
      </c>
      <c r="AB370" s="177" t="s">
        <v>434</v>
      </c>
      <c r="AC370" s="177">
        <v>4.3</v>
      </c>
      <c r="AD370" s="177" t="s">
        <v>1248</v>
      </c>
      <c r="AE370" s="177" t="s">
        <v>1319</v>
      </c>
      <c r="AF370" s="177">
        <v>1</v>
      </c>
      <c r="AG370" s="177">
        <v>16138</v>
      </c>
      <c r="AH370" s="177" t="s">
        <v>121</v>
      </c>
      <c r="AI370" s="177" t="b">
        <v>1</v>
      </c>
      <c r="AJ370" s="180">
        <v>44559</v>
      </c>
      <c r="AK370" s="177" t="s">
        <v>122</v>
      </c>
      <c r="AL370" s="177">
        <v>2022</v>
      </c>
      <c r="AM370" s="177" t="s">
        <v>109</v>
      </c>
      <c r="AN370" s="179" t="b">
        <v>0</v>
      </c>
      <c r="AO370" s="177" t="s">
        <v>109</v>
      </c>
      <c r="AP370" s="177" t="s">
        <v>109</v>
      </c>
      <c r="AQ370" s="177" t="s">
        <v>109</v>
      </c>
      <c r="AR370" s="177" t="b">
        <v>0</v>
      </c>
      <c r="AS370" s="177" t="s">
        <v>123</v>
      </c>
      <c r="AT370" s="180" t="s">
        <v>109</v>
      </c>
      <c r="AU370" s="177" t="s">
        <v>124</v>
      </c>
      <c r="AV370" s="177" t="s">
        <v>109</v>
      </c>
      <c r="AW370" s="177" t="s">
        <v>195</v>
      </c>
      <c r="AX370" s="177" t="s">
        <v>109</v>
      </c>
      <c r="AY370" s="177" t="s">
        <v>135</v>
      </c>
      <c r="AZ370" s="177" t="s">
        <v>109</v>
      </c>
      <c r="BA370" s="177" t="s">
        <v>218</v>
      </c>
      <c r="BB370" s="177" t="s">
        <v>109</v>
      </c>
      <c r="BC370" s="177" t="s">
        <v>425</v>
      </c>
      <c r="BD370" s="177" t="s">
        <v>109</v>
      </c>
      <c r="BE370" s="181" t="s">
        <v>2550</v>
      </c>
      <c r="BF370" s="180" t="s">
        <v>227</v>
      </c>
      <c r="BG370" s="180" t="s">
        <v>227</v>
      </c>
      <c r="BH370" s="177" t="s">
        <v>109</v>
      </c>
      <c r="BI370" s="177" t="s">
        <v>109</v>
      </c>
      <c r="BJ370" s="177" t="b">
        <v>0</v>
      </c>
      <c r="BK370" s="240">
        <f>103.94392</f>
        <v>103.94392000000001</v>
      </c>
      <c r="BL370" s="234" t="s">
        <v>128</v>
      </c>
      <c r="BM370" s="240">
        <f>0</f>
        <v>0</v>
      </c>
      <c r="BN370" s="241">
        <v>0</v>
      </c>
      <c r="BO370" s="241">
        <v>0</v>
      </c>
      <c r="BP370" s="241">
        <v>0</v>
      </c>
      <c r="BQ370" s="241">
        <v>0</v>
      </c>
      <c r="BR370" s="241" t="s">
        <v>2551</v>
      </c>
      <c r="BS370" s="241">
        <v>0</v>
      </c>
      <c r="BT370" s="241">
        <v>0</v>
      </c>
      <c r="BU370" s="241">
        <v>0</v>
      </c>
      <c r="BV370" s="241">
        <v>0</v>
      </c>
      <c r="BW370" s="241">
        <v>0</v>
      </c>
      <c r="BX370" s="241">
        <v>0</v>
      </c>
      <c r="BY370" s="234">
        <v>0</v>
      </c>
      <c r="BZ370" s="241" t="s">
        <v>109</v>
      </c>
      <c r="CA370" s="241" t="s">
        <v>109</v>
      </c>
      <c r="CB370" s="241" t="s">
        <v>109</v>
      </c>
      <c r="CC370" s="241">
        <v>0</v>
      </c>
      <c r="CD370" s="241">
        <v>0</v>
      </c>
      <c r="CE370" s="241">
        <v>0</v>
      </c>
      <c r="CF370" s="241">
        <v>0</v>
      </c>
      <c r="CG370" s="241">
        <v>0</v>
      </c>
      <c r="CH370" s="241">
        <v>0</v>
      </c>
      <c r="CI370" s="241">
        <v>0</v>
      </c>
      <c r="CJ370" s="237">
        <v>0</v>
      </c>
      <c r="CK370" s="177" t="s">
        <v>128</v>
      </c>
      <c r="CL370" s="177" t="s">
        <v>128</v>
      </c>
      <c r="CM370" s="231" t="s">
        <v>109</v>
      </c>
      <c r="CN370" s="232">
        <v>0</v>
      </c>
      <c r="CO370" s="232">
        <v>1</v>
      </c>
      <c r="CP370" t="s">
        <v>480</v>
      </c>
      <c r="CR370" s="248"/>
    </row>
  </sheetData>
  <protectedRanges>
    <protectedRange sqref="BM2:BS2" name="Range1_1"/>
    <protectedRange sqref="BT2:BX2" name="Range1_1_4"/>
    <protectedRange sqref="CM2:CP2" name="Range1_1_1"/>
  </protectedRanges>
  <phoneticPr fontId="40" type="noConversion"/>
  <dataValidations count="1">
    <dataValidation allowBlank="1" showInputMessage="1" showErrorMessage="1" sqref="BK1:BK1048576" xr:uid="{F0AF9C35-B336-455F-B88C-C8C54AC2821D}"/>
  </dataValidations>
  <pageMargins left="0.7" right="0.7" top="0.75" bottom="0.75" header="0.3" footer="0.3"/>
  <customProperties>
    <customPr name="_pios_id" r:id="rId1"/>
  </customProperties>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C5973DE6-6F41-438D-A7D7-C386D2B0997E}">
          <x14:formula1>
            <xm:f>'Options List'!$A$2:$A$30</xm:f>
          </x14:formula1>
          <xm:sqref>G4:G370</xm:sqref>
        </x14:dataValidation>
        <x14:dataValidation type="list" allowBlank="1" showInputMessage="1" showErrorMessage="1" xr:uid="{3A9DCE87-3FF4-4B3C-9038-66EE778BF90F}">
          <x14:formula1>
            <xm:f>'Options List'!$B$2:$B$8</xm:f>
          </x14:formula1>
          <xm:sqref>H4:I370</xm:sqref>
        </x14:dataValidation>
        <x14:dataValidation type="list" allowBlank="1" showInputMessage="1" showErrorMessage="1" xr:uid="{DE9D3382-E829-42FA-AC54-BC16B9F1D59A}">
          <x14:formula1>
            <xm:f>'Options List'!$C$2:$C$20</xm:f>
          </x14:formula1>
          <xm:sqref>K4:K370</xm:sqref>
        </x14:dataValidation>
        <x14:dataValidation type="list" allowBlank="1" showInputMessage="1" showErrorMessage="1" xr:uid="{5797F448-BB16-4240-AB99-C9B5C068B40D}">
          <x14:formula1>
            <xm:f>'Options List'!$D$2:$D$77</xm:f>
          </x14:formula1>
          <xm:sqref>L4:L370</xm:sqref>
        </x14:dataValidation>
        <x14:dataValidation type="list" allowBlank="1" showInputMessage="1" showErrorMessage="1" xr:uid="{77DD86F7-C7FA-42B7-B847-006009B315D3}">
          <x14:formula1>
            <xm:f>'Options List'!$E$2:$E$11</xm:f>
          </x14:formula1>
          <xm:sqref>M4:N370</xm:sqref>
        </x14:dataValidation>
        <x14:dataValidation type="list" allowBlank="1" showInputMessage="1" showErrorMessage="1" xr:uid="{942873CC-CFF3-4F76-9CDB-CB3DCF8FD304}">
          <x14:formula1>
            <xm:f>'Options List'!$F$2:$F$10</xm:f>
          </x14:formula1>
          <xm:sqref>Q4:Q370</xm:sqref>
        </x14:dataValidation>
        <x14:dataValidation type="list" allowBlank="1" showInputMessage="1" showErrorMessage="1" xr:uid="{6CFDFA7A-D29F-47C1-8736-12AAC103C2B0}">
          <x14:formula1>
            <xm:f>'Options List'!$G$2:$G$16</xm:f>
          </x14:formula1>
          <xm:sqref>R4:R370</xm:sqref>
        </x14:dataValidation>
        <x14:dataValidation type="list" allowBlank="1" showInputMessage="1" showErrorMessage="1" xr:uid="{4CAF2F53-E253-4A63-B2A9-E20765B55510}">
          <x14:formula1>
            <xm:f>'Options List'!$H$2:$H$25</xm:f>
          </x14:formula1>
          <xm:sqref>S4:S370</xm:sqref>
        </x14:dataValidation>
        <x14:dataValidation type="list" allowBlank="1" showInputMessage="1" showErrorMessage="1" xr:uid="{C4EF5DC0-879F-4D73-BAA1-4C248B4D1A9E}">
          <x14:formula1>
            <xm:f>'Options List'!$I$2:$I$9</xm:f>
          </x14:formula1>
          <xm:sqref>AS4:AS370</xm:sqref>
        </x14:dataValidation>
        <x14:dataValidation type="list" allowBlank="1" showInputMessage="1" showErrorMessage="1" xr:uid="{55B6405C-6494-4E15-8756-844CE45C3D24}">
          <x14:formula1>
            <xm:f>'Options List'!$J$2:$J$7</xm:f>
          </x14:formula1>
          <xm:sqref>AU4:AU370</xm:sqref>
        </x14:dataValidation>
        <x14:dataValidation type="list" allowBlank="1" showInputMessage="1" showErrorMessage="1" xr:uid="{759B53DB-7CCA-4993-A033-58CCF5077F65}">
          <x14:formula1>
            <xm:f>'Options List'!$K$2:$K$6</xm:f>
          </x14:formula1>
          <xm:sqref>AV4:AV370</xm:sqref>
        </x14:dataValidation>
        <x14:dataValidation type="list" allowBlank="1" showInputMessage="1" showErrorMessage="1" xr:uid="{2B668FC0-7237-40F8-8CB1-0CA76C1F9AD9}">
          <x14:formula1>
            <xm:f>'Options List'!$L$2:$L$9</xm:f>
          </x14:formula1>
          <xm:sqref>BA4:BA370</xm:sqref>
        </x14:dataValidation>
        <x14:dataValidation type="list" allowBlank="1" showInputMessage="1" showErrorMessage="1" xr:uid="{E5F1E501-5E36-495C-AD9B-2D81A8E0CB27}">
          <x14:formula1>
            <xm:f>'Options List'!$M$2:$M$14</xm:f>
          </x14:formula1>
          <xm:sqref>BC4:BC370</xm:sqref>
        </x14:dataValidation>
        <x14:dataValidation type="list" allowBlank="1" showInputMessage="1" showErrorMessage="1" xr:uid="{1B378422-F9DB-4862-B899-45992AF1A0F7}">
          <x14:formula1>
            <xm:f>'Options List'!$N$2:$N$7</xm:f>
          </x14:formula1>
          <xm:sqref>BD4:BD370</xm:sqref>
        </x14:dataValidation>
        <x14:dataValidation type="list" allowBlank="1" showInputMessage="1" showErrorMessage="1" xr:uid="{0F3D721F-B857-491D-B1EA-1A2FB392FB04}">
          <x14:formula1>
            <xm:f>'Options List'!$O$2:$O$21</xm:f>
          </x14:formula1>
          <xm:sqref>BH4:BI370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8F27-3E1D-4438-B200-62AFBE473DC1}">
  <sheetPr codeName="Sheet4"/>
  <dimension ref="A1:H93"/>
  <sheetViews>
    <sheetView workbookViewId="0"/>
  </sheetViews>
  <sheetFormatPr defaultColWidth="9.109375" defaultRowHeight="14.4" x14ac:dyDescent="0.3"/>
  <cols>
    <col min="1" max="1" width="30.6640625" style="183" bestFit="1" customWidth="1"/>
    <col min="2" max="2" width="14.6640625" style="183" bestFit="1" customWidth="1"/>
    <col min="3" max="3" width="13.109375" style="183" bestFit="1" customWidth="1"/>
    <col min="4" max="4" width="59.33203125" style="183" customWidth="1"/>
    <col min="5" max="6" width="30.6640625" style="183" bestFit="1" customWidth="1"/>
    <col min="7" max="7" width="40.33203125" style="183" customWidth="1"/>
    <col min="8" max="8" width="39" style="183" customWidth="1"/>
    <col min="9" max="16384" width="9.109375" style="183"/>
  </cols>
  <sheetData>
    <row r="1" spans="1:8" x14ac:dyDescent="0.3">
      <c r="A1" s="183" t="s">
        <v>2552</v>
      </c>
      <c r="B1" s="183" t="s">
        <v>2553</v>
      </c>
      <c r="C1" s="183" t="s">
        <v>2554</v>
      </c>
      <c r="D1" s="183" t="s">
        <v>2555</v>
      </c>
      <c r="E1" s="183" t="s">
        <v>2556</v>
      </c>
      <c r="F1" s="183" t="s">
        <v>2557</v>
      </c>
      <c r="G1" s="183" t="s">
        <v>2558</v>
      </c>
      <c r="H1" s="183" t="s">
        <v>2559</v>
      </c>
    </row>
    <row r="2" spans="1:8" x14ac:dyDescent="0.3">
      <c r="A2" s="183" t="s">
        <v>0</v>
      </c>
      <c r="B2" s="183">
        <v>1</v>
      </c>
      <c r="C2" s="183">
        <v>1</v>
      </c>
      <c r="D2" s="183" t="s">
        <v>2560</v>
      </c>
      <c r="E2" s="183" t="s">
        <v>2561</v>
      </c>
      <c r="F2" s="183">
        <v>4</v>
      </c>
      <c r="G2" s="183" t="s">
        <v>2562</v>
      </c>
      <c r="H2" s="183" t="s">
        <v>2563</v>
      </c>
    </row>
    <row r="3" spans="1:8" x14ac:dyDescent="0.3">
      <c r="A3" s="183" t="s">
        <v>0</v>
      </c>
      <c r="B3" s="183">
        <v>2</v>
      </c>
      <c r="C3" s="183">
        <v>2</v>
      </c>
      <c r="D3" s="183" t="s">
        <v>2564</v>
      </c>
      <c r="E3" s="183" t="s">
        <v>2565</v>
      </c>
      <c r="F3" s="183" t="s">
        <v>2566</v>
      </c>
      <c r="G3" s="183" t="s">
        <v>2567</v>
      </c>
      <c r="H3" s="183" t="s">
        <v>2568</v>
      </c>
    </row>
    <row r="4" spans="1:8" x14ac:dyDescent="0.3">
      <c r="A4" s="183" t="s">
        <v>0</v>
      </c>
      <c r="B4" s="183">
        <v>3</v>
      </c>
      <c r="C4" s="183" t="s">
        <v>5</v>
      </c>
      <c r="D4" s="183" t="s">
        <v>18</v>
      </c>
      <c r="E4" s="183" t="s">
        <v>2569</v>
      </c>
      <c r="F4" s="183" t="s">
        <v>2570</v>
      </c>
      <c r="G4" s="183" t="s">
        <v>2571</v>
      </c>
      <c r="H4" s="183" t="s">
        <v>2572</v>
      </c>
    </row>
    <row r="5" spans="1:8" x14ac:dyDescent="0.3">
      <c r="A5" s="183" t="s">
        <v>0</v>
      </c>
      <c r="B5" s="183">
        <v>4</v>
      </c>
      <c r="C5" s="183" t="s">
        <v>6</v>
      </c>
      <c r="D5" s="183" t="s">
        <v>19</v>
      </c>
      <c r="E5" s="183" t="s">
        <v>2569</v>
      </c>
      <c r="F5" s="183" t="s">
        <v>2573</v>
      </c>
      <c r="G5" s="183" t="s">
        <v>2574</v>
      </c>
      <c r="H5" s="183" t="s">
        <v>2575</v>
      </c>
    </row>
    <row r="6" spans="1:8" x14ac:dyDescent="0.3">
      <c r="A6" s="183" t="s">
        <v>0</v>
      </c>
      <c r="B6" s="183">
        <v>5</v>
      </c>
      <c r="C6" s="183">
        <v>4</v>
      </c>
      <c r="D6" s="183" t="s">
        <v>2576</v>
      </c>
      <c r="E6" s="183" t="s">
        <v>2577</v>
      </c>
      <c r="F6" s="183" t="s">
        <v>2578</v>
      </c>
      <c r="G6" s="183" t="s">
        <v>2579</v>
      </c>
      <c r="H6" s="183" t="s">
        <v>2580</v>
      </c>
    </row>
    <row r="7" spans="1:8" x14ac:dyDescent="0.3">
      <c r="A7" s="183" t="s">
        <v>0</v>
      </c>
      <c r="B7" s="183">
        <v>6</v>
      </c>
      <c r="C7" s="183">
        <v>5</v>
      </c>
      <c r="D7" s="183" t="s">
        <v>0</v>
      </c>
      <c r="E7" s="183" t="s">
        <v>2581</v>
      </c>
      <c r="F7" s="183" t="s">
        <v>2582</v>
      </c>
      <c r="G7" s="183" t="s">
        <v>2583</v>
      </c>
      <c r="H7" s="183" t="s">
        <v>2584</v>
      </c>
    </row>
    <row r="8" spans="1:8" x14ac:dyDescent="0.3">
      <c r="A8" s="183" t="s">
        <v>0</v>
      </c>
      <c r="B8" s="183">
        <v>7</v>
      </c>
      <c r="C8" s="183">
        <v>6</v>
      </c>
      <c r="D8" s="183" t="s">
        <v>21</v>
      </c>
      <c r="E8" s="183" t="s">
        <v>2585</v>
      </c>
      <c r="F8" s="183" t="s">
        <v>166</v>
      </c>
      <c r="G8" s="183" t="s">
        <v>2586</v>
      </c>
      <c r="H8" s="183" t="s">
        <v>2587</v>
      </c>
    </row>
    <row r="9" spans="1:8" x14ac:dyDescent="0.3">
      <c r="A9" s="183" t="s">
        <v>0</v>
      </c>
      <c r="B9" s="183">
        <v>8</v>
      </c>
      <c r="C9" s="183">
        <v>7</v>
      </c>
      <c r="D9" s="183" t="s">
        <v>23</v>
      </c>
      <c r="E9" s="183" t="s">
        <v>2588</v>
      </c>
      <c r="F9" s="183" t="s">
        <v>113</v>
      </c>
      <c r="G9" s="183" t="s">
        <v>2589</v>
      </c>
      <c r="H9" s="183" t="s">
        <v>2590</v>
      </c>
    </row>
    <row r="10" spans="1:8" x14ac:dyDescent="0.3">
      <c r="A10" s="183" t="s">
        <v>0</v>
      </c>
      <c r="B10" s="183">
        <v>9</v>
      </c>
      <c r="C10" s="183">
        <v>7</v>
      </c>
      <c r="D10" s="183" t="s">
        <v>22</v>
      </c>
      <c r="E10" s="183" t="s">
        <v>2588</v>
      </c>
      <c r="F10" s="183" t="s">
        <v>113</v>
      </c>
      <c r="G10" s="183" t="s">
        <v>2589</v>
      </c>
      <c r="H10" s="183" t="s">
        <v>2590</v>
      </c>
    </row>
    <row r="11" spans="1:8" x14ac:dyDescent="0.3">
      <c r="A11" s="183" t="s">
        <v>0</v>
      </c>
      <c r="B11" s="183">
        <v>10</v>
      </c>
      <c r="C11" s="183">
        <v>8</v>
      </c>
      <c r="D11" s="183" t="s">
        <v>24</v>
      </c>
      <c r="E11" s="183" t="s">
        <v>2591</v>
      </c>
      <c r="F11" s="183" t="s">
        <v>2592</v>
      </c>
      <c r="G11" s="183" t="s">
        <v>2593</v>
      </c>
      <c r="H11" s="183" t="s">
        <v>2594</v>
      </c>
    </row>
    <row r="12" spans="1:8" x14ac:dyDescent="0.3">
      <c r="A12" s="183" t="s">
        <v>0</v>
      </c>
      <c r="B12" s="183">
        <v>11</v>
      </c>
      <c r="C12" s="183">
        <v>9</v>
      </c>
      <c r="D12" s="183" t="s">
        <v>25</v>
      </c>
      <c r="E12" s="183" t="s">
        <v>2585</v>
      </c>
      <c r="F12" s="183" t="s">
        <v>114</v>
      </c>
      <c r="G12" s="183" t="s">
        <v>2595</v>
      </c>
      <c r="H12" s="183" t="s">
        <v>2596</v>
      </c>
    </row>
    <row r="13" spans="1:8" x14ac:dyDescent="0.3">
      <c r="A13" s="183" t="s">
        <v>0</v>
      </c>
      <c r="B13" s="183">
        <v>12</v>
      </c>
      <c r="C13" s="183">
        <v>10</v>
      </c>
      <c r="D13" s="183" t="s">
        <v>26</v>
      </c>
      <c r="E13" s="183" t="s">
        <v>2585</v>
      </c>
      <c r="F13" s="183" t="s">
        <v>2597</v>
      </c>
      <c r="G13" s="183" t="s">
        <v>2598</v>
      </c>
      <c r="H13" s="183" t="s">
        <v>2599</v>
      </c>
    </row>
    <row r="14" spans="1:8" x14ac:dyDescent="0.3">
      <c r="A14" s="183" t="s">
        <v>0</v>
      </c>
      <c r="B14" s="183">
        <v>13</v>
      </c>
      <c r="C14" s="183">
        <v>11</v>
      </c>
      <c r="D14" s="183" t="s">
        <v>2600</v>
      </c>
      <c r="E14" s="183" t="s">
        <v>2588</v>
      </c>
      <c r="F14" s="183" t="s">
        <v>2601</v>
      </c>
      <c r="G14" s="183" t="s">
        <v>2602</v>
      </c>
      <c r="H14" s="183" t="s">
        <v>2603</v>
      </c>
    </row>
    <row r="15" spans="1:8" x14ac:dyDescent="0.3">
      <c r="A15" s="183" t="s">
        <v>0</v>
      </c>
      <c r="B15" s="183">
        <v>14</v>
      </c>
      <c r="C15" s="183">
        <v>11</v>
      </c>
      <c r="D15" s="183" t="s">
        <v>28</v>
      </c>
      <c r="E15" s="183" t="s">
        <v>2588</v>
      </c>
      <c r="F15" s="183" t="s">
        <v>2601</v>
      </c>
      <c r="G15" s="183" t="s">
        <v>2602</v>
      </c>
      <c r="H15" s="183" t="s">
        <v>2603</v>
      </c>
    </row>
    <row r="16" spans="1:8" x14ac:dyDescent="0.3">
      <c r="A16" s="183" t="s">
        <v>0</v>
      </c>
      <c r="B16" s="183">
        <v>15</v>
      </c>
      <c r="C16" s="183">
        <v>12</v>
      </c>
      <c r="D16" s="183" t="s">
        <v>29</v>
      </c>
      <c r="E16" s="183" t="s">
        <v>2604</v>
      </c>
      <c r="F16" s="183" t="s">
        <v>280</v>
      </c>
      <c r="G16" s="183" t="s">
        <v>2605</v>
      </c>
      <c r="H16" s="183" t="s">
        <v>2606</v>
      </c>
    </row>
    <row r="17" spans="1:8" x14ac:dyDescent="0.3">
      <c r="A17" s="183" t="s">
        <v>0</v>
      </c>
      <c r="B17" s="183">
        <v>16</v>
      </c>
      <c r="C17" s="183">
        <v>13</v>
      </c>
      <c r="D17" s="183" t="s">
        <v>30</v>
      </c>
      <c r="E17" s="183" t="s">
        <v>2561</v>
      </c>
      <c r="F17" s="183">
        <v>12</v>
      </c>
      <c r="G17" s="183" t="s">
        <v>2607</v>
      </c>
      <c r="H17" s="183" t="s">
        <v>2608</v>
      </c>
    </row>
    <row r="18" spans="1:8" x14ac:dyDescent="0.3">
      <c r="A18" s="183" t="s">
        <v>0</v>
      </c>
      <c r="B18" s="183">
        <v>17</v>
      </c>
      <c r="C18" s="183">
        <v>14</v>
      </c>
      <c r="D18" s="183" t="s">
        <v>31</v>
      </c>
      <c r="E18" s="183" t="s">
        <v>2585</v>
      </c>
      <c r="F18" s="183" t="s">
        <v>2609</v>
      </c>
      <c r="G18" s="183" t="s">
        <v>2610</v>
      </c>
      <c r="H18" s="183" t="s">
        <v>2611</v>
      </c>
    </row>
    <row r="19" spans="1:8" x14ac:dyDescent="0.3">
      <c r="A19" s="183" t="s">
        <v>0</v>
      </c>
      <c r="B19" s="183">
        <v>18</v>
      </c>
      <c r="C19" s="183" t="s">
        <v>7</v>
      </c>
      <c r="D19" s="183" t="s">
        <v>32</v>
      </c>
      <c r="E19" s="183" t="s">
        <v>2588</v>
      </c>
      <c r="F19" s="183" t="s">
        <v>2612</v>
      </c>
      <c r="G19" s="183" t="s">
        <v>2613</v>
      </c>
      <c r="H19" s="183" t="s">
        <v>2614</v>
      </c>
    </row>
    <row r="20" spans="1:8" x14ac:dyDescent="0.3">
      <c r="A20" s="183" t="s">
        <v>0</v>
      </c>
      <c r="B20" s="183">
        <v>19</v>
      </c>
      <c r="C20" s="183" t="s">
        <v>8</v>
      </c>
      <c r="D20" s="183" t="s">
        <v>33</v>
      </c>
      <c r="E20" s="183" t="s">
        <v>2588</v>
      </c>
      <c r="F20" s="183" t="s">
        <v>2400</v>
      </c>
      <c r="G20" s="183" t="s">
        <v>2615</v>
      </c>
      <c r="H20" s="183" t="s">
        <v>2616</v>
      </c>
    </row>
    <row r="21" spans="1:8" x14ac:dyDescent="0.3">
      <c r="A21" s="183" t="s">
        <v>0</v>
      </c>
      <c r="B21" s="183">
        <v>20</v>
      </c>
      <c r="C21" s="183">
        <v>16</v>
      </c>
      <c r="D21" s="183" t="s">
        <v>2617</v>
      </c>
      <c r="E21" s="183" t="s">
        <v>2618</v>
      </c>
      <c r="F21" s="183" t="s">
        <v>404</v>
      </c>
      <c r="G21" s="183" t="s">
        <v>2619</v>
      </c>
      <c r="H21" s="183" t="s">
        <v>2620</v>
      </c>
    </row>
    <row r="22" spans="1:8" x14ac:dyDescent="0.3">
      <c r="A22" s="183" t="s">
        <v>0</v>
      </c>
      <c r="B22" s="183">
        <v>21</v>
      </c>
      <c r="C22" s="183">
        <v>17</v>
      </c>
      <c r="D22" s="183" t="s">
        <v>35</v>
      </c>
      <c r="E22" s="183" t="s">
        <v>2621</v>
      </c>
      <c r="F22" s="183" t="s">
        <v>1963</v>
      </c>
      <c r="G22" s="183" t="s">
        <v>2622</v>
      </c>
      <c r="H22" s="183" t="s">
        <v>2623</v>
      </c>
    </row>
    <row r="23" spans="1:8" x14ac:dyDescent="0.3">
      <c r="A23" s="183" t="s">
        <v>0</v>
      </c>
      <c r="B23" s="183">
        <v>22</v>
      </c>
      <c r="C23" s="183">
        <v>18</v>
      </c>
      <c r="D23" s="183" t="s">
        <v>36</v>
      </c>
      <c r="E23" s="183" t="s">
        <v>2624</v>
      </c>
      <c r="F23" s="183" t="b">
        <v>1</v>
      </c>
      <c r="G23" s="183" t="s">
        <v>2625</v>
      </c>
      <c r="H23" s="183" t="s">
        <v>2626</v>
      </c>
    </row>
    <row r="24" spans="1:8" x14ac:dyDescent="0.3">
      <c r="A24" s="183" t="s">
        <v>0</v>
      </c>
      <c r="B24" s="183">
        <v>23</v>
      </c>
      <c r="C24" s="183">
        <v>19</v>
      </c>
      <c r="D24" s="183" t="s">
        <v>37</v>
      </c>
      <c r="E24" s="183" t="s">
        <v>2627</v>
      </c>
      <c r="F24" s="183" t="s">
        <v>2628</v>
      </c>
      <c r="G24" s="183" t="s">
        <v>2629</v>
      </c>
      <c r="H24" s="183" t="s">
        <v>2630</v>
      </c>
    </row>
    <row r="25" spans="1:8" x14ac:dyDescent="0.3">
      <c r="A25" s="183" t="s">
        <v>0</v>
      </c>
      <c r="B25" s="183">
        <v>24</v>
      </c>
      <c r="C25" s="183">
        <v>20</v>
      </c>
      <c r="D25" s="183" t="s">
        <v>2631</v>
      </c>
      <c r="E25" s="183" t="s">
        <v>2632</v>
      </c>
      <c r="F25" s="183" t="s">
        <v>2633</v>
      </c>
      <c r="G25" s="183" t="s">
        <v>2634</v>
      </c>
      <c r="H25" s="183" t="s">
        <v>2635</v>
      </c>
    </row>
    <row r="26" spans="1:8" x14ac:dyDescent="0.3">
      <c r="A26" s="183" t="s">
        <v>0</v>
      </c>
      <c r="B26" s="183">
        <v>25</v>
      </c>
      <c r="C26" s="183">
        <v>21</v>
      </c>
      <c r="D26" s="183" t="s">
        <v>2636</v>
      </c>
      <c r="E26" s="183" t="s">
        <v>2637</v>
      </c>
      <c r="F26" s="183">
        <v>42.66</v>
      </c>
      <c r="G26" s="183" t="s">
        <v>2638</v>
      </c>
      <c r="H26" s="183" t="s">
        <v>2639</v>
      </c>
    </row>
    <row r="27" spans="1:8" x14ac:dyDescent="0.3">
      <c r="A27" s="183" t="s">
        <v>0</v>
      </c>
      <c r="B27" s="183">
        <v>26</v>
      </c>
      <c r="C27" s="183">
        <v>22</v>
      </c>
      <c r="D27" s="183" t="s">
        <v>2640</v>
      </c>
      <c r="E27" s="183" t="s">
        <v>2637</v>
      </c>
      <c r="F27" s="183">
        <v>12.25</v>
      </c>
      <c r="G27" s="183" t="s">
        <v>2641</v>
      </c>
      <c r="H27" s="183" t="s">
        <v>2642</v>
      </c>
    </row>
    <row r="28" spans="1:8" x14ac:dyDescent="0.3">
      <c r="A28" s="183" t="s">
        <v>0</v>
      </c>
      <c r="B28" s="183">
        <v>27</v>
      </c>
      <c r="C28" s="183">
        <v>23</v>
      </c>
      <c r="D28" s="183" t="s">
        <v>2643</v>
      </c>
      <c r="E28" s="183" t="s">
        <v>2644</v>
      </c>
      <c r="F28" s="183">
        <v>230</v>
      </c>
      <c r="G28" s="183" t="s">
        <v>2645</v>
      </c>
      <c r="H28" s="183" t="s">
        <v>2646</v>
      </c>
    </row>
    <row r="29" spans="1:8" x14ac:dyDescent="0.3">
      <c r="A29" s="183" t="s">
        <v>0</v>
      </c>
      <c r="B29" s="183">
        <v>28</v>
      </c>
      <c r="C29" s="183">
        <v>24</v>
      </c>
      <c r="D29" s="183" t="s">
        <v>41</v>
      </c>
      <c r="E29" s="183" t="s">
        <v>2647</v>
      </c>
      <c r="F29" s="183" t="s">
        <v>2648</v>
      </c>
      <c r="G29" s="183" t="s">
        <v>2649</v>
      </c>
      <c r="H29" s="183" t="s">
        <v>2650</v>
      </c>
    </row>
    <row r="30" spans="1:8" x14ac:dyDescent="0.3">
      <c r="A30" s="183" t="s">
        <v>0</v>
      </c>
      <c r="B30" s="183">
        <v>29</v>
      </c>
      <c r="C30" s="183">
        <v>25</v>
      </c>
      <c r="D30" s="183" t="s">
        <v>42</v>
      </c>
      <c r="E30" s="183" t="s">
        <v>2651</v>
      </c>
      <c r="F30" s="183">
        <v>1</v>
      </c>
      <c r="G30" s="183" t="s">
        <v>2652</v>
      </c>
      <c r="H30" s="183" t="s">
        <v>2653</v>
      </c>
    </row>
    <row r="31" spans="1:8" x14ac:dyDescent="0.3">
      <c r="A31" s="183" t="s">
        <v>0</v>
      </c>
      <c r="B31" s="183">
        <v>30</v>
      </c>
      <c r="C31" s="183">
        <v>26</v>
      </c>
      <c r="D31" s="183" t="s">
        <v>2654</v>
      </c>
      <c r="E31" s="183" t="s">
        <v>2655</v>
      </c>
      <c r="F31" s="183">
        <v>78493</v>
      </c>
      <c r="G31" s="183" t="s">
        <v>2656</v>
      </c>
      <c r="H31" s="183" t="s">
        <v>2657</v>
      </c>
    </row>
    <row r="32" spans="1:8" x14ac:dyDescent="0.3">
      <c r="A32" s="183" t="s">
        <v>0</v>
      </c>
      <c r="B32" s="183">
        <v>31</v>
      </c>
      <c r="C32" s="183">
        <v>27</v>
      </c>
      <c r="D32" s="183" t="s">
        <v>2658</v>
      </c>
      <c r="E32" s="183" t="s">
        <v>2655</v>
      </c>
      <c r="F32" s="183">
        <v>432</v>
      </c>
      <c r="G32" s="183" t="s">
        <v>2659</v>
      </c>
      <c r="H32" s="183" t="s">
        <v>2660</v>
      </c>
    </row>
    <row r="33" spans="1:8" x14ac:dyDescent="0.3">
      <c r="A33" s="183" t="s">
        <v>0</v>
      </c>
      <c r="B33" s="183">
        <v>32</v>
      </c>
      <c r="C33" s="183">
        <v>28</v>
      </c>
      <c r="D33" s="183" t="s">
        <v>2661</v>
      </c>
      <c r="E33" s="183" t="s">
        <v>2655</v>
      </c>
      <c r="F33" s="183">
        <v>92</v>
      </c>
      <c r="G33" s="183" t="s">
        <v>2662</v>
      </c>
      <c r="H33" s="183" t="s">
        <v>2663</v>
      </c>
    </row>
    <row r="34" spans="1:8" x14ac:dyDescent="0.3">
      <c r="A34" s="183" t="s">
        <v>0</v>
      </c>
      <c r="B34" s="183">
        <v>33</v>
      </c>
      <c r="C34" s="183">
        <v>29</v>
      </c>
      <c r="D34" s="183" t="s">
        <v>47</v>
      </c>
      <c r="E34" s="183" t="s">
        <v>2664</v>
      </c>
      <c r="F34" s="183" t="s">
        <v>2665</v>
      </c>
      <c r="G34" s="183" t="s">
        <v>2666</v>
      </c>
      <c r="H34" s="183" t="s">
        <v>2667</v>
      </c>
    </row>
    <row r="35" spans="1:8" x14ac:dyDescent="0.3">
      <c r="A35" s="183" t="s">
        <v>2668</v>
      </c>
      <c r="B35" s="183">
        <v>34</v>
      </c>
      <c r="C35" s="183">
        <v>30</v>
      </c>
      <c r="D35" s="183" t="s">
        <v>48</v>
      </c>
      <c r="E35" s="183" t="s">
        <v>2669</v>
      </c>
      <c r="F35" s="183" t="b">
        <v>1</v>
      </c>
      <c r="G35" s="183" t="s">
        <v>2670</v>
      </c>
      <c r="H35" s="183" t="s">
        <v>2671</v>
      </c>
    </row>
    <row r="36" spans="1:8" x14ac:dyDescent="0.3">
      <c r="A36" s="183" t="s">
        <v>2668</v>
      </c>
      <c r="B36" s="183">
        <v>35</v>
      </c>
      <c r="C36" s="183">
        <v>31</v>
      </c>
      <c r="D36" s="183" t="s">
        <v>2672</v>
      </c>
      <c r="E36" s="183" t="s">
        <v>2673</v>
      </c>
      <c r="F36" s="183" t="s">
        <v>2674</v>
      </c>
      <c r="G36" s="183" t="s">
        <v>2675</v>
      </c>
      <c r="H36" s="183" t="s">
        <v>2676</v>
      </c>
    </row>
    <row r="37" spans="1:8" x14ac:dyDescent="0.3">
      <c r="A37" s="183" t="s">
        <v>2668</v>
      </c>
      <c r="B37" s="183">
        <v>36</v>
      </c>
      <c r="C37" s="183">
        <v>32</v>
      </c>
      <c r="D37" s="183" t="s">
        <v>50</v>
      </c>
      <c r="E37" s="183" t="s">
        <v>2627</v>
      </c>
      <c r="F37" s="183" t="s">
        <v>2677</v>
      </c>
      <c r="G37" s="183" t="s">
        <v>2678</v>
      </c>
      <c r="H37" s="183" t="s">
        <v>2679</v>
      </c>
    </row>
    <row r="38" spans="1:8" x14ac:dyDescent="0.3">
      <c r="A38" s="183" t="s">
        <v>2668</v>
      </c>
      <c r="B38" s="183">
        <v>37</v>
      </c>
      <c r="C38" s="183">
        <v>33</v>
      </c>
      <c r="D38" s="183" t="s">
        <v>51</v>
      </c>
      <c r="E38" s="183" t="s">
        <v>2680</v>
      </c>
      <c r="F38" s="183">
        <v>2022</v>
      </c>
      <c r="G38" s="183" t="s">
        <v>2681</v>
      </c>
      <c r="H38" s="183" t="s">
        <v>2682</v>
      </c>
    </row>
    <row r="39" spans="1:8" x14ac:dyDescent="0.3">
      <c r="A39" s="183" t="s">
        <v>2668</v>
      </c>
      <c r="B39" s="183">
        <v>38</v>
      </c>
      <c r="C39" s="183">
        <v>34</v>
      </c>
      <c r="D39" s="183" t="s">
        <v>52</v>
      </c>
      <c r="E39" s="183" t="s">
        <v>2683</v>
      </c>
      <c r="F39" s="183">
        <v>2019</v>
      </c>
      <c r="G39" s="183" t="s">
        <v>2684</v>
      </c>
      <c r="H39" s="183" t="s">
        <v>2685</v>
      </c>
    </row>
    <row r="40" spans="1:8" x14ac:dyDescent="0.3">
      <c r="A40" s="183" t="s">
        <v>2668</v>
      </c>
      <c r="B40" s="183">
        <v>39</v>
      </c>
      <c r="C40" s="183">
        <v>35</v>
      </c>
      <c r="D40" s="183" t="s">
        <v>2686</v>
      </c>
      <c r="E40" s="183" t="s">
        <v>2669</v>
      </c>
      <c r="F40" s="183" t="b">
        <v>0</v>
      </c>
      <c r="G40" s="183" t="s">
        <v>2687</v>
      </c>
      <c r="H40" s="183" t="s">
        <v>2688</v>
      </c>
    </row>
    <row r="41" spans="1:8" x14ac:dyDescent="0.3">
      <c r="A41" s="183" t="s">
        <v>2668</v>
      </c>
      <c r="B41" s="183">
        <v>40</v>
      </c>
      <c r="C41" s="183">
        <v>36</v>
      </c>
      <c r="D41" s="183" t="s">
        <v>54</v>
      </c>
      <c r="E41" s="183" t="s">
        <v>2689</v>
      </c>
      <c r="F41" s="183" t="s">
        <v>189</v>
      </c>
      <c r="G41" s="183" t="s">
        <v>2690</v>
      </c>
      <c r="H41" s="183" t="s">
        <v>2691</v>
      </c>
    </row>
    <row r="42" spans="1:8" x14ac:dyDescent="0.3">
      <c r="A42" s="183" t="s">
        <v>2668</v>
      </c>
      <c r="B42" s="183">
        <v>41</v>
      </c>
      <c r="C42" s="183">
        <v>37</v>
      </c>
      <c r="D42" s="183" t="s">
        <v>55</v>
      </c>
      <c r="E42" s="183" t="s">
        <v>2689</v>
      </c>
      <c r="F42" s="183">
        <v>2025</v>
      </c>
      <c r="G42" s="183" t="s">
        <v>2692</v>
      </c>
      <c r="H42" s="183" t="s">
        <v>2693</v>
      </c>
    </row>
    <row r="43" spans="1:8" x14ac:dyDescent="0.3">
      <c r="A43" s="183" t="s">
        <v>2668</v>
      </c>
      <c r="B43" s="183">
        <v>42</v>
      </c>
      <c r="C43" s="183">
        <v>38</v>
      </c>
      <c r="D43" s="183" t="s">
        <v>2694</v>
      </c>
      <c r="E43" s="183" t="s">
        <v>2695</v>
      </c>
      <c r="F43" s="183" t="s">
        <v>2696</v>
      </c>
      <c r="G43" s="183" t="s">
        <v>2697</v>
      </c>
      <c r="H43" s="183" t="s">
        <v>2698</v>
      </c>
    </row>
    <row r="44" spans="1:8" x14ac:dyDescent="0.3">
      <c r="A44" s="183" t="s">
        <v>2668</v>
      </c>
      <c r="B44" s="183">
        <v>43</v>
      </c>
      <c r="C44" s="183">
        <v>39</v>
      </c>
      <c r="D44" s="183" t="s">
        <v>2699</v>
      </c>
      <c r="E44" s="183" t="s">
        <v>2669</v>
      </c>
      <c r="F44" s="183" t="b">
        <v>1</v>
      </c>
      <c r="G44" s="183" t="s">
        <v>2700</v>
      </c>
      <c r="H44" s="183" t="s">
        <v>2701</v>
      </c>
    </row>
    <row r="45" spans="1:8" x14ac:dyDescent="0.3">
      <c r="A45" s="183" t="s">
        <v>2</v>
      </c>
      <c r="B45" s="183">
        <v>44</v>
      </c>
      <c r="C45" s="183" t="s">
        <v>10</v>
      </c>
      <c r="D45" s="183" t="s">
        <v>58</v>
      </c>
      <c r="E45" s="183" t="s">
        <v>2585</v>
      </c>
      <c r="F45" s="183" t="s">
        <v>490</v>
      </c>
      <c r="G45" s="183" t="s">
        <v>2702</v>
      </c>
      <c r="H45" s="183" t="s">
        <v>2703</v>
      </c>
    </row>
    <row r="46" spans="1:8" x14ac:dyDescent="0.3">
      <c r="A46" s="183" t="s">
        <v>2</v>
      </c>
      <c r="B46" s="183">
        <v>45</v>
      </c>
      <c r="C46" s="183" t="s">
        <v>11</v>
      </c>
      <c r="D46" s="183" t="s">
        <v>59</v>
      </c>
      <c r="E46" s="183" t="s">
        <v>2673</v>
      </c>
      <c r="F46" s="183" t="s">
        <v>2704</v>
      </c>
      <c r="G46" s="183" t="s">
        <v>2705</v>
      </c>
      <c r="H46" s="183" t="s">
        <v>2706</v>
      </c>
    </row>
    <row r="47" spans="1:8" x14ac:dyDescent="0.3">
      <c r="A47" s="183" t="s">
        <v>2</v>
      </c>
      <c r="B47" s="183">
        <v>46</v>
      </c>
      <c r="C47" s="183" t="s">
        <v>12</v>
      </c>
      <c r="D47" s="183" t="s">
        <v>60</v>
      </c>
      <c r="E47" s="183" t="s">
        <v>2585</v>
      </c>
      <c r="F47" s="183" t="s">
        <v>515</v>
      </c>
      <c r="G47" s="183" t="s">
        <v>2707</v>
      </c>
      <c r="H47" s="183" t="s">
        <v>2708</v>
      </c>
    </row>
    <row r="48" spans="1:8" x14ac:dyDescent="0.3">
      <c r="A48" s="183" t="s">
        <v>2</v>
      </c>
      <c r="B48" s="183">
        <v>47</v>
      </c>
      <c r="C48" s="183" t="s">
        <v>13</v>
      </c>
      <c r="D48" s="183" t="s">
        <v>61</v>
      </c>
      <c r="E48" s="183" t="s">
        <v>2585</v>
      </c>
      <c r="F48" s="183" t="s">
        <v>2709</v>
      </c>
      <c r="G48" s="183" t="s">
        <v>2710</v>
      </c>
      <c r="H48" s="183" t="s">
        <v>2711</v>
      </c>
    </row>
    <row r="49" spans="1:8" x14ac:dyDescent="0.3">
      <c r="A49" s="183" t="s">
        <v>2</v>
      </c>
      <c r="B49" s="183">
        <v>48</v>
      </c>
      <c r="C49" s="183" t="s">
        <v>14</v>
      </c>
      <c r="D49" s="183" t="s">
        <v>62</v>
      </c>
      <c r="E49" s="183" t="s">
        <v>2618</v>
      </c>
      <c r="F49" s="183" t="s">
        <v>195</v>
      </c>
      <c r="G49" s="183" t="s">
        <v>2712</v>
      </c>
      <c r="H49" s="183" t="s">
        <v>2713</v>
      </c>
    </row>
    <row r="50" spans="1:8" x14ac:dyDescent="0.3">
      <c r="A50" s="183" t="s">
        <v>2</v>
      </c>
      <c r="B50" s="183">
        <v>49</v>
      </c>
      <c r="C50" s="183" t="s">
        <v>15</v>
      </c>
      <c r="D50" s="183" t="s">
        <v>63</v>
      </c>
      <c r="E50" s="183" t="s">
        <v>2618</v>
      </c>
      <c r="F50" s="183" t="s">
        <v>2714</v>
      </c>
      <c r="G50" s="183" t="s">
        <v>2715</v>
      </c>
      <c r="H50" s="183" t="s">
        <v>2716</v>
      </c>
    </row>
    <row r="51" spans="1:8" x14ac:dyDescent="0.3">
      <c r="A51" s="183" t="s">
        <v>2</v>
      </c>
      <c r="B51" s="183">
        <v>50</v>
      </c>
      <c r="C51" s="183">
        <v>43</v>
      </c>
      <c r="D51" s="183" t="s">
        <v>64</v>
      </c>
      <c r="E51" s="183" t="s">
        <v>2627</v>
      </c>
      <c r="F51" s="183" t="s">
        <v>2717</v>
      </c>
      <c r="G51" s="183" t="s">
        <v>2718</v>
      </c>
      <c r="H51" s="183" t="s">
        <v>2719</v>
      </c>
    </row>
    <row r="52" spans="1:8" x14ac:dyDescent="0.3">
      <c r="A52" s="183" t="s">
        <v>2</v>
      </c>
      <c r="B52" s="183">
        <v>51</v>
      </c>
      <c r="C52" s="183">
        <v>44</v>
      </c>
      <c r="D52" s="183" t="s">
        <v>65</v>
      </c>
      <c r="E52" s="183" t="s">
        <v>2673</v>
      </c>
      <c r="F52" s="183" t="s">
        <v>2720</v>
      </c>
      <c r="G52" s="183" t="s">
        <v>2721</v>
      </c>
      <c r="H52" s="183" t="s">
        <v>2722</v>
      </c>
    </row>
    <row r="53" spans="1:8" x14ac:dyDescent="0.3">
      <c r="A53" s="183" t="s">
        <v>2</v>
      </c>
      <c r="B53" s="183">
        <v>52</v>
      </c>
      <c r="C53" s="183">
        <v>45</v>
      </c>
      <c r="D53" s="183" t="s">
        <v>66</v>
      </c>
      <c r="E53" s="183" t="s">
        <v>2585</v>
      </c>
      <c r="F53" s="183" t="s">
        <v>494</v>
      </c>
      <c r="G53" s="183" t="s">
        <v>2723</v>
      </c>
      <c r="H53" s="183" t="s">
        <v>2724</v>
      </c>
    </row>
    <row r="54" spans="1:8" x14ac:dyDescent="0.3">
      <c r="A54" s="183" t="s">
        <v>2</v>
      </c>
      <c r="B54" s="183">
        <v>53</v>
      </c>
      <c r="C54" s="183">
        <v>46</v>
      </c>
      <c r="D54" s="183" t="s">
        <v>2725</v>
      </c>
      <c r="E54" s="183" t="s">
        <v>2683</v>
      </c>
      <c r="F54" s="183">
        <v>2019</v>
      </c>
      <c r="G54" s="183" t="s">
        <v>2726</v>
      </c>
      <c r="H54" s="183" t="s">
        <v>2727</v>
      </c>
    </row>
    <row r="55" spans="1:8" x14ac:dyDescent="0.3">
      <c r="A55" s="183" t="s">
        <v>2728</v>
      </c>
      <c r="B55" s="183">
        <v>54</v>
      </c>
      <c r="C55" s="183">
        <v>47</v>
      </c>
      <c r="D55" s="183" t="s">
        <v>3</v>
      </c>
      <c r="E55" s="183" t="s">
        <v>2585</v>
      </c>
      <c r="F55" s="183" t="s">
        <v>1002</v>
      </c>
      <c r="G55" s="183" t="s">
        <v>2729</v>
      </c>
      <c r="H55" s="183" t="s">
        <v>2730</v>
      </c>
    </row>
    <row r="56" spans="1:8" x14ac:dyDescent="0.3">
      <c r="A56" s="183" t="s">
        <v>2728</v>
      </c>
      <c r="B56" s="183">
        <v>55</v>
      </c>
      <c r="C56" s="183">
        <v>48</v>
      </c>
      <c r="D56" s="183" t="s">
        <v>68</v>
      </c>
      <c r="E56" s="183" t="s">
        <v>2585</v>
      </c>
      <c r="F56" s="183">
        <v>3</v>
      </c>
      <c r="G56" s="183" t="s">
        <v>2731</v>
      </c>
      <c r="H56" s="183" t="s">
        <v>2732</v>
      </c>
    </row>
    <row r="57" spans="1:8" x14ac:dyDescent="0.3">
      <c r="A57" s="183" t="s">
        <v>2728</v>
      </c>
      <c r="B57" s="183">
        <v>56</v>
      </c>
      <c r="C57" s="183">
        <v>49</v>
      </c>
      <c r="D57" s="183" t="s">
        <v>69</v>
      </c>
      <c r="E57" s="183" t="s">
        <v>2673</v>
      </c>
      <c r="F57" s="183">
        <v>45809</v>
      </c>
      <c r="G57" s="183" t="s">
        <v>2733</v>
      </c>
      <c r="H57" s="183" t="s">
        <v>2734</v>
      </c>
    </row>
    <row r="58" spans="1:8" x14ac:dyDescent="0.3">
      <c r="A58" s="183" t="s">
        <v>2728</v>
      </c>
      <c r="B58" s="183">
        <v>57</v>
      </c>
      <c r="C58" s="183">
        <v>50</v>
      </c>
      <c r="D58" s="183" t="s">
        <v>2735</v>
      </c>
      <c r="E58" s="183" t="s">
        <v>2736</v>
      </c>
      <c r="F58" s="183">
        <v>45809</v>
      </c>
      <c r="G58" s="183" t="s">
        <v>2737</v>
      </c>
      <c r="H58" s="183" t="s">
        <v>2738</v>
      </c>
    </row>
    <row r="59" spans="1:8" x14ac:dyDescent="0.3">
      <c r="A59" s="183" t="s">
        <v>2728</v>
      </c>
      <c r="B59" s="183">
        <v>58</v>
      </c>
      <c r="C59" s="183">
        <v>51</v>
      </c>
      <c r="D59" s="183" t="s">
        <v>71</v>
      </c>
      <c r="E59" s="183" t="s">
        <v>2739</v>
      </c>
      <c r="F59" s="183" t="s">
        <v>2740</v>
      </c>
      <c r="G59" s="183" t="s">
        <v>2741</v>
      </c>
      <c r="H59" s="183" t="s">
        <v>2742</v>
      </c>
    </row>
    <row r="60" spans="1:8" x14ac:dyDescent="0.3">
      <c r="A60" s="183" t="s">
        <v>2728</v>
      </c>
      <c r="B60" s="183">
        <v>59</v>
      </c>
      <c r="C60" s="183">
        <v>52</v>
      </c>
      <c r="D60" s="183" t="s">
        <v>2743</v>
      </c>
      <c r="E60" s="183" t="s">
        <v>2588</v>
      </c>
      <c r="F60" s="183" t="s">
        <v>2226</v>
      </c>
      <c r="G60" s="183" t="s">
        <v>2744</v>
      </c>
      <c r="H60" s="183" t="s">
        <v>2745</v>
      </c>
    </row>
    <row r="61" spans="1:8" x14ac:dyDescent="0.3">
      <c r="A61" s="183" t="s">
        <v>2728</v>
      </c>
      <c r="B61" s="183">
        <v>60</v>
      </c>
      <c r="C61" s="183">
        <v>52</v>
      </c>
      <c r="D61" s="183" t="s">
        <v>73</v>
      </c>
      <c r="E61" s="183" t="s">
        <v>2588</v>
      </c>
      <c r="F61" s="183" t="s">
        <v>2226</v>
      </c>
      <c r="G61" s="183" t="s">
        <v>2744</v>
      </c>
      <c r="H61" s="183" t="s">
        <v>2745</v>
      </c>
    </row>
    <row r="62" spans="1:8" x14ac:dyDescent="0.3">
      <c r="A62" s="183" t="s">
        <v>2728</v>
      </c>
      <c r="B62" s="183">
        <v>61</v>
      </c>
      <c r="C62" s="183">
        <v>53</v>
      </c>
      <c r="D62" s="183" t="s">
        <v>74</v>
      </c>
      <c r="E62" s="183" t="s">
        <v>2669</v>
      </c>
      <c r="F62" s="183" t="b">
        <v>1</v>
      </c>
      <c r="G62" s="183" t="s">
        <v>2746</v>
      </c>
      <c r="H62" s="183" t="s">
        <v>2747</v>
      </c>
    </row>
    <row r="63" spans="1:8" x14ac:dyDescent="0.3">
      <c r="A63" s="183" t="s">
        <v>2748</v>
      </c>
      <c r="B63" s="183">
        <v>62</v>
      </c>
      <c r="C63" s="183">
        <v>54</v>
      </c>
      <c r="D63" s="183" t="s">
        <v>2749</v>
      </c>
      <c r="E63" s="183" t="s">
        <v>2750</v>
      </c>
      <c r="F63" s="183" t="s">
        <v>2751</v>
      </c>
      <c r="G63" s="183" t="s">
        <v>2752</v>
      </c>
      <c r="H63" s="183" t="s">
        <v>2753</v>
      </c>
    </row>
    <row r="64" spans="1:8" x14ac:dyDescent="0.3">
      <c r="A64" s="183" t="s">
        <v>2748</v>
      </c>
      <c r="B64" s="183">
        <v>63</v>
      </c>
      <c r="C64" s="183">
        <v>55</v>
      </c>
      <c r="D64" s="183" t="s">
        <v>76</v>
      </c>
      <c r="E64" s="183" t="s">
        <v>2754</v>
      </c>
      <c r="F64" s="183" t="s">
        <v>2755</v>
      </c>
      <c r="G64" s="183" t="s">
        <v>2756</v>
      </c>
      <c r="H64" s="183" t="s">
        <v>2757</v>
      </c>
    </row>
    <row r="65" spans="1:8" x14ac:dyDescent="0.3">
      <c r="A65" s="183" t="s">
        <v>2748</v>
      </c>
      <c r="B65" s="183">
        <v>64</v>
      </c>
      <c r="C65" s="183">
        <v>56</v>
      </c>
      <c r="D65" s="183" t="s">
        <v>77</v>
      </c>
      <c r="E65" s="183" t="s">
        <v>2758</v>
      </c>
      <c r="F65" s="183">
        <v>78</v>
      </c>
      <c r="G65" s="183" t="s">
        <v>2759</v>
      </c>
      <c r="H65" s="183" t="s">
        <v>2760</v>
      </c>
    </row>
    <row r="66" spans="1:8" x14ac:dyDescent="0.3">
      <c r="A66" s="183" t="s">
        <v>2748</v>
      </c>
      <c r="B66" s="183">
        <v>65</v>
      </c>
      <c r="C66" s="183">
        <v>57</v>
      </c>
      <c r="D66" s="183" t="s">
        <v>2761</v>
      </c>
      <c r="E66" s="183" t="s">
        <v>2758</v>
      </c>
      <c r="F66" s="183">
        <v>12</v>
      </c>
      <c r="G66" s="183" t="s">
        <v>2762</v>
      </c>
      <c r="H66" s="183" t="s">
        <v>2763</v>
      </c>
    </row>
    <row r="67" spans="1:8" x14ac:dyDescent="0.3">
      <c r="A67" s="183" t="s">
        <v>2748</v>
      </c>
      <c r="B67" s="183">
        <v>66</v>
      </c>
      <c r="C67" s="183" t="s">
        <v>2764</v>
      </c>
      <c r="D67" s="183" t="s">
        <v>2765</v>
      </c>
      <c r="E67" s="183" t="s">
        <v>2758</v>
      </c>
      <c r="F67" s="183">
        <v>12</v>
      </c>
      <c r="G67" s="183" t="s">
        <v>2762</v>
      </c>
      <c r="H67" s="183" t="s">
        <v>2763</v>
      </c>
    </row>
    <row r="68" spans="1:8" x14ac:dyDescent="0.3">
      <c r="A68" s="183" t="s">
        <v>2748</v>
      </c>
      <c r="B68" s="183">
        <v>67</v>
      </c>
      <c r="C68" s="183" t="s">
        <v>2766</v>
      </c>
      <c r="D68" s="183" t="s">
        <v>2767</v>
      </c>
      <c r="E68" s="183" t="s">
        <v>2758</v>
      </c>
      <c r="F68" s="183">
        <v>12</v>
      </c>
      <c r="G68" s="183" t="s">
        <v>2762</v>
      </c>
      <c r="H68" s="183" t="s">
        <v>2763</v>
      </c>
    </row>
    <row r="69" spans="1:8" x14ac:dyDescent="0.3">
      <c r="A69" s="183" t="s">
        <v>2748</v>
      </c>
      <c r="B69" s="183">
        <v>68</v>
      </c>
      <c r="C69" s="183" t="s">
        <v>2768</v>
      </c>
      <c r="D69" s="183" t="s">
        <v>2769</v>
      </c>
      <c r="E69" s="183" t="s">
        <v>2758</v>
      </c>
      <c r="F69" s="183">
        <v>12</v>
      </c>
      <c r="G69" s="183" t="s">
        <v>2762</v>
      </c>
      <c r="H69" s="183" t="s">
        <v>2763</v>
      </c>
    </row>
    <row r="70" spans="1:8" x14ac:dyDescent="0.3">
      <c r="A70" s="183" t="s">
        <v>2748</v>
      </c>
      <c r="B70" s="183">
        <v>69</v>
      </c>
      <c r="C70" s="183" t="s">
        <v>2770</v>
      </c>
      <c r="D70" s="183" t="s">
        <v>2771</v>
      </c>
      <c r="E70" s="183" t="s">
        <v>2758</v>
      </c>
      <c r="F70" s="183">
        <v>12</v>
      </c>
      <c r="G70" s="183" t="s">
        <v>2762</v>
      </c>
      <c r="H70" s="183" t="s">
        <v>2763</v>
      </c>
    </row>
    <row r="71" spans="1:8" x14ac:dyDescent="0.3">
      <c r="A71" s="183" t="s">
        <v>2748</v>
      </c>
      <c r="B71" s="183">
        <v>70</v>
      </c>
      <c r="C71" s="183">
        <v>58</v>
      </c>
      <c r="D71" s="183" t="s">
        <v>2772</v>
      </c>
      <c r="E71" s="183" t="s">
        <v>2758</v>
      </c>
      <c r="F71" s="183">
        <v>4650</v>
      </c>
      <c r="G71" s="183" t="s">
        <v>2773</v>
      </c>
      <c r="H71" s="183" t="s">
        <v>2774</v>
      </c>
    </row>
    <row r="72" spans="1:8" x14ac:dyDescent="0.3">
      <c r="A72" s="183" t="s">
        <v>2748</v>
      </c>
      <c r="B72" s="183">
        <v>71</v>
      </c>
      <c r="C72" s="183" t="s">
        <v>2775</v>
      </c>
      <c r="D72" s="183" t="s">
        <v>2776</v>
      </c>
      <c r="E72" s="183" t="s">
        <v>2758</v>
      </c>
      <c r="F72" s="183">
        <v>4650</v>
      </c>
      <c r="G72" s="183" t="s">
        <v>2773</v>
      </c>
      <c r="H72" s="183" t="s">
        <v>2774</v>
      </c>
    </row>
    <row r="73" spans="1:8" x14ac:dyDescent="0.3">
      <c r="A73" s="183" t="s">
        <v>2748</v>
      </c>
      <c r="B73" s="183">
        <v>72</v>
      </c>
      <c r="C73" s="183" t="s">
        <v>2777</v>
      </c>
      <c r="D73" s="183" t="s">
        <v>2778</v>
      </c>
      <c r="E73" s="183" t="s">
        <v>2758</v>
      </c>
      <c r="F73" s="183">
        <v>4650</v>
      </c>
      <c r="G73" s="183" t="s">
        <v>2773</v>
      </c>
      <c r="H73" s="183" t="s">
        <v>2774</v>
      </c>
    </row>
    <row r="74" spans="1:8" x14ac:dyDescent="0.3">
      <c r="A74" s="183" t="s">
        <v>2748</v>
      </c>
      <c r="B74" s="183">
        <v>73</v>
      </c>
      <c r="C74" s="183" t="s">
        <v>2779</v>
      </c>
      <c r="D74" s="183" t="s">
        <v>2780</v>
      </c>
      <c r="E74" s="183" t="s">
        <v>2758</v>
      </c>
      <c r="F74" s="183">
        <v>4650</v>
      </c>
      <c r="G74" s="183" t="s">
        <v>2773</v>
      </c>
      <c r="H74" s="183" t="s">
        <v>2774</v>
      </c>
    </row>
    <row r="75" spans="1:8" x14ac:dyDescent="0.3">
      <c r="A75" s="183" t="s">
        <v>2748</v>
      </c>
      <c r="B75" s="183">
        <v>74</v>
      </c>
      <c r="C75" s="183" t="s">
        <v>2781</v>
      </c>
      <c r="D75" s="183" t="s">
        <v>2782</v>
      </c>
      <c r="E75" s="183" t="s">
        <v>2758</v>
      </c>
      <c r="F75" s="183">
        <v>4650</v>
      </c>
      <c r="G75" s="183" t="s">
        <v>2773</v>
      </c>
      <c r="H75" s="183" t="s">
        <v>2774</v>
      </c>
    </row>
    <row r="76" spans="1:8" x14ac:dyDescent="0.3">
      <c r="A76" s="183" t="s">
        <v>2748</v>
      </c>
      <c r="B76" s="183">
        <v>75</v>
      </c>
      <c r="C76" s="183" t="s">
        <v>2783</v>
      </c>
      <c r="D76" s="183" t="s">
        <v>2784</v>
      </c>
      <c r="E76" s="183" t="s">
        <v>2758</v>
      </c>
      <c r="F76" s="183">
        <v>4650</v>
      </c>
      <c r="G76" s="183" t="s">
        <v>2773</v>
      </c>
      <c r="H76" s="183" t="s">
        <v>2774</v>
      </c>
    </row>
    <row r="77" spans="1:8" x14ac:dyDescent="0.3">
      <c r="A77" s="183" t="s">
        <v>2748</v>
      </c>
      <c r="B77" s="183">
        <v>76</v>
      </c>
      <c r="C77" s="183">
        <v>59</v>
      </c>
      <c r="D77" s="183" t="s">
        <v>2785</v>
      </c>
      <c r="E77" s="183" t="s">
        <v>2758</v>
      </c>
      <c r="F77" s="183">
        <v>2350</v>
      </c>
      <c r="G77" s="183" t="s">
        <v>2786</v>
      </c>
      <c r="H77" s="183" t="s">
        <v>2787</v>
      </c>
    </row>
    <row r="78" spans="1:8" x14ac:dyDescent="0.3">
      <c r="A78" s="183" t="s">
        <v>2748</v>
      </c>
      <c r="B78" s="183">
        <v>77</v>
      </c>
      <c r="C78" s="183">
        <v>60</v>
      </c>
      <c r="D78" s="183" t="s">
        <v>2788</v>
      </c>
      <c r="E78" s="183" t="s">
        <v>2758</v>
      </c>
      <c r="F78" s="183">
        <v>12</v>
      </c>
      <c r="G78" s="183" t="s">
        <v>2789</v>
      </c>
      <c r="H78" s="183" t="s">
        <v>2790</v>
      </c>
    </row>
    <row r="79" spans="1:8" x14ac:dyDescent="0.3">
      <c r="A79" s="183" t="s">
        <v>2748</v>
      </c>
      <c r="B79" s="183">
        <v>78</v>
      </c>
      <c r="C79" s="183">
        <v>61</v>
      </c>
      <c r="D79" s="183" t="s">
        <v>2791</v>
      </c>
      <c r="E79" s="183" t="s">
        <v>2758</v>
      </c>
      <c r="F79" s="183">
        <v>0</v>
      </c>
      <c r="G79" s="183" t="s">
        <v>2792</v>
      </c>
      <c r="H79" s="183" t="s">
        <v>2793</v>
      </c>
    </row>
    <row r="80" spans="1:8" x14ac:dyDescent="0.3">
      <c r="A80" s="183" t="s">
        <v>2748</v>
      </c>
      <c r="B80" s="183">
        <v>79</v>
      </c>
      <c r="C80" s="183">
        <v>62</v>
      </c>
      <c r="D80" s="183" t="s">
        <v>92</v>
      </c>
      <c r="E80" s="183" t="s">
        <v>2794</v>
      </c>
      <c r="F80" s="183" t="s">
        <v>2795</v>
      </c>
      <c r="G80" s="183" t="s">
        <v>2796</v>
      </c>
      <c r="H80" s="183" t="s">
        <v>2797</v>
      </c>
    </row>
    <row r="81" spans="1:8" x14ac:dyDescent="0.3">
      <c r="A81" s="183" t="s">
        <v>2748</v>
      </c>
      <c r="B81" s="183">
        <v>80</v>
      </c>
      <c r="C81" s="183">
        <v>63</v>
      </c>
      <c r="D81" s="183" t="s">
        <v>2798</v>
      </c>
      <c r="E81" s="183" t="s">
        <v>2799</v>
      </c>
      <c r="F81" s="183">
        <v>500000</v>
      </c>
      <c r="G81" s="183" t="s">
        <v>2800</v>
      </c>
      <c r="H81" s="183" t="s">
        <v>2801</v>
      </c>
    </row>
    <row r="82" spans="1:8" x14ac:dyDescent="0.3">
      <c r="A82" s="183" t="s">
        <v>2748</v>
      </c>
      <c r="B82" s="183">
        <v>81</v>
      </c>
      <c r="C82" s="183" t="s">
        <v>2802</v>
      </c>
      <c r="D82" s="183" t="s">
        <v>2803</v>
      </c>
      <c r="E82" s="183" t="s">
        <v>2804</v>
      </c>
      <c r="F82" s="183">
        <v>500000</v>
      </c>
      <c r="G82" s="183" t="s">
        <v>2800</v>
      </c>
      <c r="H82" s="183" t="s">
        <v>2801</v>
      </c>
    </row>
    <row r="83" spans="1:8" x14ac:dyDescent="0.3">
      <c r="A83" s="183" t="s">
        <v>2748</v>
      </c>
      <c r="B83" s="183">
        <v>82</v>
      </c>
      <c r="C83" s="183" t="s">
        <v>2805</v>
      </c>
      <c r="D83" s="183" t="s">
        <v>2806</v>
      </c>
      <c r="E83" s="183" t="s">
        <v>2807</v>
      </c>
      <c r="F83" s="183">
        <v>500000</v>
      </c>
      <c r="G83" s="183" t="s">
        <v>2800</v>
      </c>
      <c r="H83" s="183" t="s">
        <v>2801</v>
      </c>
    </row>
    <row r="84" spans="1:8" x14ac:dyDescent="0.3">
      <c r="A84" s="183" t="s">
        <v>2748</v>
      </c>
      <c r="B84" s="183">
        <v>83</v>
      </c>
      <c r="C84" s="183" t="s">
        <v>2808</v>
      </c>
      <c r="D84" s="183" t="s">
        <v>2809</v>
      </c>
      <c r="E84" s="183" t="s">
        <v>2810</v>
      </c>
      <c r="F84" s="183">
        <v>500000</v>
      </c>
      <c r="G84" s="183" t="s">
        <v>2800</v>
      </c>
      <c r="H84" s="183" t="s">
        <v>2801</v>
      </c>
    </row>
    <row r="85" spans="1:8" x14ac:dyDescent="0.3">
      <c r="A85" s="183" t="s">
        <v>2748</v>
      </c>
      <c r="B85" s="183">
        <v>84</v>
      </c>
      <c r="C85" s="183" t="s">
        <v>2811</v>
      </c>
      <c r="D85" s="183" t="s">
        <v>2812</v>
      </c>
      <c r="E85" s="183" t="s">
        <v>2813</v>
      </c>
      <c r="F85" s="183">
        <v>500000</v>
      </c>
      <c r="G85" s="183" t="s">
        <v>2800</v>
      </c>
      <c r="H85" s="183" t="s">
        <v>2801</v>
      </c>
    </row>
    <row r="86" spans="1:8" x14ac:dyDescent="0.3">
      <c r="A86" s="183" t="s">
        <v>2748</v>
      </c>
      <c r="B86" s="183">
        <v>85</v>
      </c>
      <c r="C86" s="183" t="s">
        <v>2814</v>
      </c>
      <c r="D86" s="183" t="s">
        <v>2815</v>
      </c>
      <c r="E86" s="183" t="s">
        <v>2816</v>
      </c>
      <c r="F86" s="183">
        <v>500000</v>
      </c>
      <c r="G86" s="183" t="s">
        <v>2800</v>
      </c>
      <c r="H86" s="183" t="s">
        <v>2801</v>
      </c>
    </row>
    <row r="87" spans="1:8" x14ac:dyDescent="0.3">
      <c r="A87" s="183" t="s">
        <v>2748</v>
      </c>
      <c r="B87" s="183">
        <v>86</v>
      </c>
      <c r="C87" s="183">
        <v>64</v>
      </c>
      <c r="D87" s="183" t="s">
        <v>100</v>
      </c>
      <c r="E87" s="183" t="s">
        <v>2817</v>
      </c>
      <c r="F87" s="183" t="s">
        <v>2818</v>
      </c>
      <c r="G87" s="183" t="s">
        <v>2819</v>
      </c>
      <c r="H87" s="183" t="s">
        <v>2820</v>
      </c>
    </row>
    <row r="88" spans="1:8" x14ac:dyDescent="0.3">
      <c r="A88" s="183" t="s">
        <v>2748</v>
      </c>
      <c r="B88" s="183">
        <v>87</v>
      </c>
      <c r="C88" s="183">
        <v>65</v>
      </c>
      <c r="D88" s="183" t="s">
        <v>2821</v>
      </c>
      <c r="E88" s="183" t="s">
        <v>2822</v>
      </c>
      <c r="F88" s="183" t="s">
        <v>2823</v>
      </c>
      <c r="G88" s="183" t="s">
        <v>2824</v>
      </c>
      <c r="H88" s="183" t="s">
        <v>2825</v>
      </c>
    </row>
    <row r="89" spans="1:8" x14ac:dyDescent="0.3">
      <c r="A89" s="183" t="s">
        <v>2748</v>
      </c>
      <c r="B89" s="183">
        <v>88</v>
      </c>
      <c r="C89" s="183">
        <v>66</v>
      </c>
      <c r="D89" s="183" t="s">
        <v>2826</v>
      </c>
      <c r="E89" s="183" t="s">
        <v>2827</v>
      </c>
      <c r="F89" s="183" t="s">
        <v>2828</v>
      </c>
      <c r="G89" s="183" t="s">
        <v>2829</v>
      </c>
      <c r="H89" s="183" t="s">
        <v>2830</v>
      </c>
    </row>
    <row r="90" spans="1:8" x14ac:dyDescent="0.3">
      <c r="A90" s="183" t="s">
        <v>2748</v>
      </c>
      <c r="B90" s="183">
        <v>89</v>
      </c>
      <c r="C90" s="183">
        <v>67</v>
      </c>
      <c r="D90" s="183" t="s">
        <v>103</v>
      </c>
      <c r="E90" s="183" t="s">
        <v>2831</v>
      </c>
      <c r="F90" s="183" t="s">
        <v>2832</v>
      </c>
      <c r="G90" s="183" t="s">
        <v>2833</v>
      </c>
      <c r="H90" s="183" t="s">
        <v>2834</v>
      </c>
    </row>
    <row r="91" spans="1:8" x14ac:dyDescent="0.3">
      <c r="A91" s="183" t="s">
        <v>2748</v>
      </c>
      <c r="B91" s="183">
        <v>90</v>
      </c>
      <c r="C91" s="183">
        <v>68</v>
      </c>
      <c r="D91" s="183" t="s">
        <v>2835</v>
      </c>
      <c r="E91" s="183" t="s">
        <v>2836</v>
      </c>
      <c r="F91" s="183">
        <v>0.23050000000000001</v>
      </c>
      <c r="G91" s="183" t="s">
        <v>2837</v>
      </c>
      <c r="H91" s="183" t="s">
        <v>2838</v>
      </c>
    </row>
    <row r="92" spans="1:8" x14ac:dyDescent="0.3">
      <c r="A92" s="183" t="s">
        <v>2748</v>
      </c>
      <c r="B92" s="183">
        <v>91</v>
      </c>
      <c r="C92" s="183">
        <v>69</v>
      </c>
      <c r="D92" s="183" t="s">
        <v>2839</v>
      </c>
      <c r="E92" s="183" t="s">
        <v>2836</v>
      </c>
      <c r="F92" s="183">
        <v>0</v>
      </c>
      <c r="G92" s="183" t="s">
        <v>2840</v>
      </c>
      <c r="H92" s="183" t="s">
        <v>2841</v>
      </c>
    </row>
    <row r="93" spans="1:8" x14ac:dyDescent="0.3">
      <c r="A93" s="183" t="s">
        <v>2842</v>
      </c>
      <c r="B93" s="183">
        <v>92</v>
      </c>
      <c r="C93" s="183">
        <v>70</v>
      </c>
      <c r="D93" s="183" t="s">
        <v>2842</v>
      </c>
      <c r="E93" s="183" t="s">
        <v>2843</v>
      </c>
      <c r="F93" s="183" t="s">
        <v>2844</v>
      </c>
      <c r="G93" s="183" t="s">
        <v>2845</v>
      </c>
      <c r="H93" s="183" t="s">
        <v>2846</v>
      </c>
    </row>
  </sheetData>
  <pageMargins left="0.7" right="0.7" top="0.75" bottom="0.75" header="0.3" footer="0.3"/>
  <customProperties>
    <customPr name="_pios_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sheetPr codeName="Sheet6"/>
  <dimension ref="A1:AA77"/>
  <sheetViews>
    <sheetView topLeftCell="L1" workbookViewId="0">
      <selection activeCell="R18" sqref="R18"/>
    </sheetView>
  </sheetViews>
  <sheetFormatPr defaultColWidth="9.33203125" defaultRowHeight="13.5" customHeight="1" x14ac:dyDescent="0.3"/>
  <cols>
    <col min="1" max="1" width="34.109375" style="12" customWidth="1"/>
    <col min="2" max="2" width="51.6640625" style="12" customWidth="1"/>
    <col min="3" max="3" width="43.88671875" style="12" customWidth="1"/>
    <col min="4" max="4" width="42.109375" style="12" customWidth="1"/>
    <col min="5" max="5" width="72.6640625" style="12" customWidth="1"/>
    <col min="6" max="6" width="42.109375" style="12" customWidth="1"/>
    <col min="7" max="7" width="47.6640625" style="12" customWidth="1"/>
    <col min="8" max="8" width="47" style="12" customWidth="1"/>
    <col min="9" max="9" width="21.5546875" style="12" customWidth="1"/>
    <col min="10" max="10" width="23" style="12" customWidth="1"/>
    <col min="11" max="11" width="22.44140625" style="12" customWidth="1"/>
    <col min="12" max="12" width="54.5546875" style="12" customWidth="1"/>
    <col min="13" max="13" width="38.88671875" style="12" customWidth="1"/>
    <col min="14" max="14" width="13.88671875" style="12" customWidth="1"/>
    <col min="15" max="15" width="33.33203125" style="12" customWidth="1"/>
    <col min="16" max="16" width="13.88671875" style="12" customWidth="1"/>
    <col min="17" max="17" width="16.88671875" style="12" customWidth="1"/>
    <col min="18" max="16384" width="9.33203125" style="12"/>
  </cols>
  <sheetData>
    <row r="1" spans="1:25" s="25" customFormat="1" ht="13.8" x14ac:dyDescent="0.3">
      <c r="A1" s="23" t="s">
        <v>2847</v>
      </c>
      <c r="B1" s="23" t="s">
        <v>2848</v>
      </c>
      <c r="C1" s="24" t="s">
        <v>2849</v>
      </c>
      <c r="D1" s="24" t="s">
        <v>2850</v>
      </c>
      <c r="E1" s="23" t="s">
        <v>2851</v>
      </c>
      <c r="F1" s="23" t="s">
        <v>2852</v>
      </c>
      <c r="G1" s="23" t="s">
        <v>2853</v>
      </c>
      <c r="H1" s="23" t="s">
        <v>2854</v>
      </c>
      <c r="I1" s="23" t="s">
        <v>2855</v>
      </c>
      <c r="J1" s="23" t="s">
        <v>2856</v>
      </c>
      <c r="K1" s="23" t="s">
        <v>2857</v>
      </c>
      <c r="L1" s="23" t="s">
        <v>2858</v>
      </c>
      <c r="M1" s="23" t="s">
        <v>2859</v>
      </c>
      <c r="N1" s="23" t="s">
        <v>2860</v>
      </c>
      <c r="O1" s="23" t="s">
        <v>2861</v>
      </c>
      <c r="P1" s="23" t="s">
        <v>2862</v>
      </c>
      <c r="Q1" s="23"/>
    </row>
    <row r="2" spans="1:25" ht="15" x14ac:dyDescent="0.3">
      <c r="A2" s="11" t="s">
        <v>111</v>
      </c>
      <c r="B2" s="12" t="s">
        <v>112</v>
      </c>
      <c r="C2" s="12" t="s">
        <v>192</v>
      </c>
      <c r="D2" s="12" t="s">
        <v>193</v>
      </c>
      <c r="E2" s="12" t="s">
        <v>194</v>
      </c>
      <c r="F2" s="12" t="s">
        <v>2863</v>
      </c>
      <c r="G2" s="13" t="s">
        <v>1397</v>
      </c>
      <c r="H2" s="14" t="s">
        <v>2864</v>
      </c>
      <c r="I2" s="12" t="s">
        <v>1039</v>
      </c>
      <c r="J2" s="12" t="s">
        <v>2865</v>
      </c>
      <c r="K2" s="12" t="s">
        <v>2709</v>
      </c>
      <c r="L2" s="12" t="s">
        <v>125</v>
      </c>
      <c r="M2" s="12" t="s">
        <v>296</v>
      </c>
      <c r="N2" s="15">
        <v>1</v>
      </c>
      <c r="O2" s="12" t="s">
        <v>138</v>
      </c>
      <c r="P2" s="16" t="s">
        <v>2866</v>
      </c>
      <c r="Q2" s="17"/>
    </row>
    <row r="3" spans="1:25" ht="15" x14ac:dyDescent="0.3">
      <c r="A3" s="11" t="s">
        <v>133</v>
      </c>
      <c r="B3" s="12" t="s">
        <v>146</v>
      </c>
      <c r="C3" s="12" t="s">
        <v>114</v>
      </c>
      <c r="D3" s="12" t="s">
        <v>251</v>
      </c>
      <c r="E3" s="12" t="s">
        <v>2867</v>
      </c>
      <c r="F3" s="12" t="s">
        <v>508</v>
      </c>
      <c r="G3" s="13" t="s">
        <v>2868</v>
      </c>
      <c r="H3" s="14" t="s">
        <v>2869</v>
      </c>
      <c r="I3" s="12" t="s">
        <v>2870</v>
      </c>
      <c r="J3" s="12" t="s">
        <v>491</v>
      </c>
      <c r="K3" s="12" t="s">
        <v>216</v>
      </c>
      <c r="L3" s="12" t="s">
        <v>649</v>
      </c>
      <c r="M3" s="12" t="s">
        <v>546</v>
      </c>
      <c r="N3" s="15">
        <v>2</v>
      </c>
      <c r="O3" s="12" t="s">
        <v>699</v>
      </c>
      <c r="P3" s="16" t="s">
        <v>2871</v>
      </c>
      <c r="Q3" s="17"/>
    </row>
    <row r="4" spans="1:25" ht="15" x14ac:dyDescent="0.3">
      <c r="A4" s="11" t="s">
        <v>145</v>
      </c>
      <c r="B4" s="12" t="s">
        <v>113</v>
      </c>
      <c r="C4" s="12" t="s">
        <v>485</v>
      </c>
      <c r="D4" s="12" t="s">
        <v>2872</v>
      </c>
      <c r="E4" s="12" t="s">
        <v>2873</v>
      </c>
      <c r="F4" s="12" t="s">
        <v>2612</v>
      </c>
      <c r="G4" s="13" t="s">
        <v>509</v>
      </c>
      <c r="H4" s="14" t="s">
        <v>2874</v>
      </c>
      <c r="I4" s="12" t="s">
        <v>796</v>
      </c>
      <c r="J4" s="12" t="s">
        <v>515</v>
      </c>
      <c r="K4" s="12" t="s">
        <v>539</v>
      </c>
      <c r="L4" s="12" t="s">
        <v>2875</v>
      </c>
      <c r="M4" s="12" t="s">
        <v>425</v>
      </c>
      <c r="N4" s="15">
        <v>3</v>
      </c>
      <c r="O4" s="12" t="s">
        <v>2876</v>
      </c>
      <c r="P4" s="16"/>
      <c r="Q4" s="17"/>
    </row>
    <row r="5" spans="1:25" ht="15" x14ac:dyDescent="0.3">
      <c r="A5" s="11" t="s">
        <v>166</v>
      </c>
      <c r="B5" s="12" t="s">
        <v>958</v>
      </c>
      <c r="C5" s="12" t="s">
        <v>704</v>
      </c>
      <c r="D5" s="12" t="s">
        <v>2877</v>
      </c>
      <c r="E5" s="12" t="s">
        <v>2878</v>
      </c>
      <c r="F5" s="12" t="s">
        <v>2879</v>
      </c>
      <c r="G5" s="13" t="s">
        <v>725</v>
      </c>
      <c r="H5" s="14" t="s">
        <v>2880</v>
      </c>
      <c r="I5" s="12" t="s">
        <v>2881</v>
      </c>
      <c r="J5" s="12" t="s">
        <v>124</v>
      </c>
      <c r="K5" s="12" t="s">
        <v>246</v>
      </c>
      <c r="L5" s="12" t="s">
        <v>494</v>
      </c>
      <c r="M5" s="12" t="s">
        <v>699</v>
      </c>
      <c r="N5" s="15">
        <v>4</v>
      </c>
      <c r="O5" s="12" t="s">
        <v>2882</v>
      </c>
      <c r="P5" s="16"/>
    </row>
    <row r="6" spans="1:25" ht="15" x14ac:dyDescent="0.3">
      <c r="A6" s="11" t="s">
        <v>2883</v>
      </c>
      <c r="B6" s="12" t="s">
        <v>275</v>
      </c>
      <c r="C6" s="12" t="s">
        <v>2884</v>
      </c>
      <c r="D6" s="12" t="s">
        <v>2597</v>
      </c>
      <c r="E6" s="12" t="s">
        <v>840</v>
      </c>
      <c r="F6" s="12" t="s">
        <v>2885</v>
      </c>
      <c r="G6" s="13" t="s">
        <v>1052</v>
      </c>
      <c r="H6" s="14" t="s">
        <v>2400</v>
      </c>
      <c r="I6" s="12" t="s">
        <v>490</v>
      </c>
      <c r="J6" s="12" t="s">
        <v>246</v>
      </c>
      <c r="K6" s="12" t="s">
        <v>109</v>
      </c>
      <c r="L6" s="12" t="s">
        <v>2886</v>
      </c>
      <c r="M6" s="12" t="s">
        <v>1146</v>
      </c>
      <c r="N6" s="15">
        <v>5</v>
      </c>
      <c r="O6" s="12" t="s">
        <v>1180</v>
      </c>
      <c r="P6" s="16"/>
    </row>
    <row r="7" spans="1:25" ht="14.25" customHeight="1" x14ac:dyDescent="0.3">
      <c r="A7" s="11" t="s">
        <v>1009</v>
      </c>
      <c r="B7" s="12" t="s">
        <v>109</v>
      </c>
      <c r="C7" s="12" t="s">
        <v>2887</v>
      </c>
      <c r="D7" s="12" t="s">
        <v>2888</v>
      </c>
      <c r="E7" s="12" t="s">
        <v>505</v>
      </c>
      <c r="F7" s="12" t="s">
        <v>1011</v>
      </c>
      <c r="G7" s="13" t="s">
        <v>1012</v>
      </c>
      <c r="H7" s="14" t="s">
        <v>1398</v>
      </c>
      <c r="I7" s="12" t="s">
        <v>123</v>
      </c>
      <c r="J7" s="12" t="s">
        <v>109</v>
      </c>
      <c r="L7" s="12" t="s">
        <v>2889</v>
      </c>
      <c r="M7" s="12" t="s">
        <v>1002</v>
      </c>
      <c r="N7" s="15" t="s">
        <v>109</v>
      </c>
      <c r="O7" s="12" t="s">
        <v>459</v>
      </c>
      <c r="P7" s="16"/>
      <c r="Q7" s="17"/>
    </row>
    <row r="8" spans="1:25" ht="15" x14ac:dyDescent="0.3">
      <c r="A8" s="11" t="s">
        <v>348</v>
      </c>
      <c r="B8" s="12" t="s">
        <v>240</v>
      </c>
      <c r="C8" s="12" t="s">
        <v>1073</v>
      </c>
      <c r="D8" s="12" t="s">
        <v>2890</v>
      </c>
      <c r="E8" s="12" t="s">
        <v>706</v>
      </c>
      <c r="F8" s="12" t="s">
        <v>246</v>
      </c>
      <c r="G8" s="13" t="s">
        <v>342</v>
      </c>
      <c r="H8" s="14" t="s">
        <v>2430</v>
      </c>
      <c r="I8" s="12" t="s">
        <v>246</v>
      </c>
      <c r="L8" s="12" t="s">
        <v>246</v>
      </c>
      <c r="M8" s="12" t="s">
        <v>863</v>
      </c>
      <c r="O8" s="12" t="s">
        <v>819</v>
      </c>
      <c r="P8" s="17"/>
      <c r="Q8" s="17"/>
    </row>
    <row r="9" spans="1:25" ht="15" x14ac:dyDescent="0.3">
      <c r="A9" s="11" t="s">
        <v>331</v>
      </c>
      <c r="C9" s="12" t="s">
        <v>2429</v>
      </c>
      <c r="D9" s="12" t="s">
        <v>2891</v>
      </c>
      <c r="E9" s="12" t="s">
        <v>246</v>
      </c>
      <c r="F9" s="12" t="s">
        <v>240</v>
      </c>
      <c r="G9" s="13" t="s">
        <v>1024</v>
      </c>
      <c r="H9" s="14" t="s">
        <v>2411</v>
      </c>
      <c r="I9" s="12" t="s">
        <v>109</v>
      </c>
      <c r="L9" s="12" t="s">
        <v>2892</v>
      </c>
      <c r="M9" s="12" t="s">
        <v>150</v>
      </c>
      <c r="O9" s="12" t="s">
        <v>2226</v>
      </c>
      <c r="P9" s="17"/>
    </row>
    <row r="10" spans="1:25" ht="30" x14ac:dyDescent="0.3">
      <c r="A10" s="11" t="s">
        <v>2893</v>
      </c>
      <c r="C10" s="12" t="s">
        <v>2894</v>
      </c>
      <c r="D10" s="12" t="s">
        <v>1537</v>
      </c>
      <c r="E10" s="12" t="s">
        <v>109</v>
      </c>
      <c r="F10" s="12" t="s">
        <v>109</v>
      </c>
      <c r="G10" s="13" t="s">
        <v>1036</v>
      </c>
      <c r="H10" s="14" t="s">
        <v>2895</v>
      </c>
      <c r="M10" s="12" t="s">
        <v>322</v>
      </c>
      <c r="O10" s="12" t="s">
        <v>1379</v>
      </c>
      <c r="Q10" s="17"/>
    </row>
    <row r="11" spans="1:25" ht="15" x14ac:dyDescent="0.3">
      <c r="A11" s="11" t="s">
        <v>439</v>
      </c>
      <c r="C11" s="12" t="s">
        <v>356</v>
      </c>
      <c r="D11" s="12" t="s">
        <v>1432</v>
      </c>
      <c r="E11" s="12" t="s">
        <v>240</v>
      </c>
      <c r="G11" s="13" t="s">
        <v>2896</v>
      </c>
      <c r="H11" s="14" t="s">
        <v>2897</v>
      </c>
      <c r="M11" s="12" t="s">
        <v>126</v>
      </c>
      <c r="O11" s="12" t="s">
        <v>497</v>
      </c>
      <c r="P11" s="17"/>
      <c r="Q11" s="18"/>
    </row>
    <row r="12" spans="1:25" ht="15" x14ac:dyDescent="0.3">
      <c r="A12" s="11" t="s">
        <v>2002</v>
      </c>
      <c r="C12" s="12" t="s">
        <v>134</v>
      </c>
      <c r="D12" s="12" t="s">
        <v>2898</v>
      </c>
      <c r="G12" s="13" t="s">
        <v>2899</v>
      </c>
      <c r="H12" s="14" t="s">
        <v>2900</v>
      </c>
      <c r="M12" s="12" t="s">
        <v>397</v>
      </c>
      <c r="O12" s="12" t="s">
        <v>521</v>
      </c>
      <c r="P12" s="17"/>
    </row>
    <row r="13" spans="1:25" ht="15" x14ac:dyDescent="0.3">
      <c r="A13" s="11" t="s">
        <v>355</v>
      </c>
      <c r="C13" s="12" t="s">
        <v>250</v>
      </c>
      <c r="D13" s="12" t="s">
        <v>2901</v>
      </c>
      <c r="G13" s="13" t="s">
        <v>2213</v>
      </c>
      <c r="H13" s="14" t="s">
        <v>2902</v>
      </c>
      <c r="M13" s="12" t="s">
        <v>980</v>
      </c>
      <c r="O13" s="12" t="s">
        <v>609</v>
      </c>
      <c r="P13" s="17"/>
    </row>
    <row r="14" spans="1:25" ht="15" x14ac:dyDescent="0.3">
      <c r="A14" s="11" t="s">
        <v>245</v>
      </c>
      <c r="C14" s="12" t="s">
        <v>662</v>
      </c>
      <c r="D14" s="12" t="s">
        <v>2903</v>
      </c>
      <c r="G14" s="13" t="s">
        <v>2904</v>
      </c>
      <c r="H14" s="14" t="s">
        <v>2905</v>
      </c>
      <c r="M14" s="12" t="s">
        <v>2906</v>
      </c>
      <c r="O14" s="12" t="s">
        <v>326</v>
      </c>
      <c r="P14" s="17"/>
      <c r="Q14" s="17"/>
    </row>
    <row r="15" spans="1:25" ht="15" x14ac:dyDescent="0.3">
      <c r="A15" s="11" t="s">
        <v>1080</v>
      </c>
      <c r="C15" s="12" t="s">
        <v>2110</v>
      </c>
      <c r="D15" s="12" t="s">
        <v>393</v>
      </c>
      <c r="G15" s="13" t="s">
        <v>123</v>
      </c>
      <c r="H15" s="14" t="s">
        <v>2907</v>
      </c>
      <c r="O15" s="12" t="s">
        <v>833</v>
      </c>
      <c r="P15" s="17"/>
      <c r="Q15" s="17"/>
    </row>
    <row r="16" spans="1:25" ht="15" x14ac:dyDescent="0.3">
      <c r="A16" s="11" t="s">
        <v>274</v>
      </c>
      <c r="C16" s="12" t="s">
        <v>2908</v>
      </c>
      <c r="D16" s="12" t="s">
        <v>2909</v>
      </c>
      <c r="G16" s="13" t="s">
        <v>109</v>
      </c>
      <c r="H16" s="14" t="s">
        <v>2910</v>
      </c>
      <c r="L16" s="14"/>
      <c r="M16" s="14"/>
      <c r="N16" s="14"/>
      <c r="O16" s="12" t="s">
        <v>946</v>
      </c>
      <c r="P16" s="19"/>
      <c r="Q16" s="19"/>
      <c r="R16" s="20"/>
      <c r="S16" s="21"/>
      <c r="T16" s="21"/>
      <c r="U16" s="20"/>
      <c r="V16" s="20"/>
      <c r="W16" s="20"/>
      <c r="X16" s="22"/>
      <c r="Y16" s="21"/>
    </row>
    <row r="17" spans="1:27" ht="15" x14ac:dyDescent="0.3">
      <c r="A17" s="11" t="s">
        <v>2911</v>
      </c>
      <c r="C17" s="12" t="s">
        <v>187</v>
      </c>
      <c r="D17" s="12" t="s">
        <v>2912</v>
      </c>
      <c r="H17" s="14" t="s">
        <v>2913</v>
      </c>
      <c r="O17" s="12" t="s">
        <v>1738</v>
      </c>
      <c r="P17" s="17"/>
      <c r="Q17" s="17"/>
    </row>
    <row r="18" spans="1:27" ht="30" x14ac:dyDescent="0.3">
      <c r="A18" s="11" t="s">
        <v>2914</v>
      </c>
      <c r="C18" s="12" t="s">
        <v>234</v>
      </c>
      <c r="D18" s="12" t="s">
        <v>1948</v>
      </c>
      <c r="H18" s="14" t="s">
        <v>2915</v>
      </c>
      <c r="L18" s="14"/>
      <c r="O18" s="12" t="s">
        <v>893</v>
      </c>
      <c r="P18" s="17"/>
      <c r="Q18" s="19"/>
      <c r="R18" s="22"/>
      <c r="S18" s="22"/>
      <c r="T18" s="20"/>
      <c r="U18" s="21"/>
      <c r="V18" s="21"/>
      <c r="W18" s="20"/>
      <c r="X18" s="20"/>
      <c r="Y18" s="20"/>
      <c r="Z18" s="22"/>
      <c r="AA18" s="21"/>
    </row>
    <row r="19" spans="1:27" ht="15" x14ac:dyDescent="0.3">
      <c r="A19" s="11" t="s">
        <v>233</v>
      </c>
      <c r="C19" s="12" t="s">
        <v>1728</v>
      </c>
      <c r="D19" s="12" t="s">
        <v>365</v>
      </c>
      <c r="H19" s="14" t="s">
        <v>2916</v>
      </c>
      <c r="O19" s="12" t="s">
        <v>246</v>
      </c>
      <c r="P19" s="17"/>
      <c r="Q19" s="17"/>
    </row>
    <row r="20" spans="1:27" ht="15" x14ac:dyDescent="0.3">
      <c r="A20" s="11" t="s">
        <v>2917</v>
      </c>
      <c r="C20" s="12" t="s">
        <v>2918</v>
      </c>
      <c r="D20" s="12" t="s">
        <v>2919</v>
      </c>
      <c r="H20" s="14" t="s">
        <v>2920</v>
      </c>
      <c r="O20" s="12" t="s">
        <v>109</v>
      </c>
      <c r="P20" s="17"/>
      <c r="Q20" s="17"/>
    </row>
    <row r="21" spans="1:27" ht="15" x14ac:dyDescent="0.3">
      <c r="A21" s="11" t="s">
        <v>186</v>
      </c>
      <c r="D21" s="12" t="s">
        <v>2921</v>
      </c>
      <c r="H21" s="14" t="s">
        <v>2922</v>
      </c>
      <c r="O21" s="12" t="s">
        <v>240</v>
      </c>
      <c r="P21" s="17"/>
      <c r="Q21" s="17"/>
    </row>
    <row r="22" spans="1:27" ht="15" x14ac:dyDescent="0.3">
      <c r="A22" s="11" t="s">
        <v>503</v>
      </c>
      <c r="D22" s="12" t="s">
        <v>2349</v>
      </c>
      <c r="H22" s="14" t="s">
        <v>2923</v>
      </c>
      <c r="P22" s="17"/>
      <c r="Q22" s="17"/>
    </row>
    <row r="23" spans="1:27" ht="15" x14ac:dyDescent="0.3">
      <c r="A23" s="11" t="s">
        <v>661</v>
      </c>
      <c r="D23" s="12" t="s">
        <v>2924</v>
      </c>
      <c r="H23" s="12" t="s">
        <v>2925</v>
      </c>
      <c r="P23" s="17"/>
      <c r="Q23" s="17"/>
    </row>
    <row r="24" spans="1:27" ht="15" x14ac:dyDescent="0.3">
      <c r="A24" s="11" t="s">
        <v>2926</v>
      </c>
      <c r="D24" s="12" t="s">
        <v>2927</v>
      </c>
      <c r="H24" s="12" t="s">
        <v>240</v>
      </c>
      <c r="P24" s="17"/>
      <c r="Q24" s="17"/>
    </row>
    <row r="25" spans="1:27" ht="15" x14ac:dyDescent="0.3">
      <c r="A25" s="11" t="s">
        <v>886</v>
      </c>
      <c r="D25" s="12" t="s">
        <v>2928</v>
      </c>
      <c r="H25" s="12" t="s">
        <v>109</v>
      </c>
      <c r="P25" s="17"/>
      <c r="Q25" s="17"/>
    </row>
    <row r="26" spans="1:27" ht="15" x14ac:dyDescent="0.3">
      <c r="A26" s="11" t="s">
        <v>688</v>
      </c>
      <c r="D26" s="12" t="s">
        <v>1453</v>
      </c>
      <c r="P26" s="17"/>
      <c r="Q26" s="17"/>
    </row>
    <row r="27" spans="1:27" ht="15" x14ac:dyDescent="0.3">
      <c r="A27" s="11" t="s">
        <v>811</v>
      </c>
      <c r="D27" s="12" t="s">
        <v>705</v>
      </c>
      <c r="P27" s="17"/>
      <c r="Q27" s="17"/>
    </row>
    <row r="28" spans="1:27" ht="15" x14ac:dyDescent="0.3">
      <c r="A28" s="11" t="s">
        <v>1947</v>
      </c>
      <c r="D28" s="12" t="s">
        <v>2929</v>
      </c>
      <c r="P28" s="17"/>
      <c r="Q28" s="17"/>
    </row>
    <row r="29" spans="1:27" ht="15" x14ac:dyDescent="0.3">
      <c r="A29" s="11" t="s">
        <v>206</v>
      </c>
      <c r="D29" s="12" t="s">
        <v>2930</v>
      </c>
      <c r="P29" s="17"/>
      <c r="Q29" s="17"/>
    </row>
    <row r="30" spans="1:27" ht="15" x14ac:dyDescent="0.3">
      <c r="A30" s="11" t="s">
        <v>240</v>
      </c>
      <c r="D30" s="12" t="s">
        <v>2931</v>
      </c>
      <c r="P30" s="17"/>
      <c r="Q30" s="17"/>
    </row>
    <row r="31" spans="1:27" ht="13.8" x14ac:dyDescent="0.3">
      <c r="D31" s="12" t="s">
        <v>2138</v>
      </c>
      <c r="P31" s="17"/>
      <c r="Q31" s="17"/>
    </row>
    <row r="32" spans="1:27" ht="13.8" x14ac:dyDescent="0.3">
      <c r="D32" s="12" t="s">
        <v>2932</v>
      </c>
      <c r="P32" s="17"/>
      <c r="Q32" s="17"/>
    </row>
    <row r="33" spans="1:17" ht="13.8" x14ac:dyDescent="0.3">
      <c r="D33" s="12" t="s">
        <v>235</v>
      </c>
      <c r="P33" s="17"/>
      <c r="Q33" s="17"/>
    </row>
    <row r="34" spans="1:17" ht="13.8" x14ac:dyDescent="0.3">
      <c r="D34" s="12" t="s">
        <v>1183</v>
      </c>
      <c r="P34" s="17"/>
      <c r="Q34" s="17"/>
    </row>
    <row r="35" spans="1:17" ht="13.8" x14ac:dyDescent="0.3">
      <c r="D35" s="12" t="s">
        <v>341</v>
      </c>
      <c r="P35" s="17"/>
      <c r="Q35" s="17"/>
    </row>
    <row r="36" spans="1:17" ht="13.8" x14ac:dyDescent="0.3">
      <c r="D36" s="12" t="s">
        <v>188</v>
      </c>
      <c r="P36" s="17"/>
      <c r="Q36" s="17"/>
    </row>
    <row r="37" spans="1:17" ht="13.8" x14ac:dyDescent="0.3">
      <c r="D37" s="12" t="s">
        <v>2933</v>
      </c>
      <c r="P37" s="17"/>
      <c r="Q37" s="17"/>
    </row>
    <row r="38" spans="1:17" ht="13.8" x14ac:dyDescent="0.3">
      <c r="D38" s="12" t="s">
        <v>1311</v>
      </c>
      <c r="P38" s="17"/>
      <c r="Q38" s="17"/>
    </row>
    <row r="39" spans="1:17" ht="13.8" x14ac:dyDescent="0.3">
      <c r="D39" s="12" t="s">
        <v>959</v>
      </c>
      <c r="P39" s="17"/>
      <c r="Q39" s="17"/>
    </row>
    <row r="40" spans="1:17" ht="13.8" x14ac:dyDescent="0.3">
      <c r="D40" s="12" t="s">
        <v>1158</v>
      </c>
      <c r="P40" s="17"/>
      <c r="Q40" s="17"/>
    </row>
    <row r="41" spans="1:17" ht="13.8" x14ac:dyDescent="0.3">
      <c r="D41" s="12" t="s">
        <v>303</v>
      </c>
      <c r="P41" s="17"/>
      <c r="Q41" s="17"/>
    </row>
    <row r="42" spans="1:17" ht="13.8" x14ac:dyDescent="0.3">
      <c r="D42" s="12" t="s">
        <v>357</v>
      </c>
      <c r="P42" s="17"/>
      <c r="Q42" s="17"/>
    </row>
    <row r="43" spans="1:17" ht="13.8" x14ac:dyDescent="0.3">
      <c r="D43" s="12" t="s">
        <v>2934</v>
      </c>
      <c r="P43" s="17"/>
      <c r="Q43" s="17"/>
    </row>
    <row r="44" spans="1:17" ht="13.8" x14ac:dyDescent="0.3">
      <c r="D44" s="12" t="s">
        <v>839</v>
      </c>
      <c r="P44" s="17"/>
      <c r="Q44" s="17"/>
    </row>
    <row r="45" spans="1:17" ht="13.8" x14ac:dyDescent="0.3">
      <c r="A45" s="17"/>
      <c r="B45" s="17"/>
      <c r="C45" s="17"/>
      <c r="D45" s="17" t="s">
        <v>896</v>
      </c>
      <c r="E45" s="17"/>
      <c r="F45" s="17"/>
      <c r="G45" s="17"/>
      <c r="H45" s="17"/>
      <c r="I45" s="17"/>
      <c r="J45" s="17"/>
      <c r="K45" s="17"/>
      <c r="L45" s="17"/>
      <c r="M45" s="17"/>
      <c r="N45" s="17"/>
      <c r="O45" s="17"/>
      <c r="P45" s="17"/>
      <c r="Q45" s="17"/>
    </row>
    <row r="46" spans="1:17" ht="13.8" x14ac:dyDescent="0.3">
      <c r="A46" s="17"/>
      <c r="B46" s="17"/>
      <c r="C46" s="17"/>
      <c r="D46" s="17" t="s">
        <v>2935</v>
      </c>
      <c r="E46" s="17"/>
      <c r="F46" s="17"/>
      <c r="G46" s="17"/>
      <c r="H46" s="17"/>
      <c r="I46" s="17"/>
      <c r="J46" s="17"/>
      <c r="K46" s="17"/>
      <c r="L46" s="17"/>
      <c r="M46" s="17"/>
      <c r="N46" s="17"/>
      <c r="O46" s="17"/>
      <c r="P46" s="17"/>
      <c r="Q46" s="17"/>
    </row>
    <row r="47" spans="1:17" ht="13.8" x14ac:dyDescent="0.3">
      <c r="A47" s="17"/>
      <c r="B47" s="17"/>
      <c r="C47" s="17"/>
      <c r="D47" s="17" t="s">
        <v>1010</v>
      </c>
      <c r="E47" s="17"/>
      <c r="F47" s="17"/>
      <c r="G47" s="17"/>
      <c r="H47" s="17"/>
      <c r="I47" s="17"/>
      <c r="J47" s="17"/>
      <c r="K47" s="17"/>
      <c r="L47" s="17"/>
      <c r="M47" s="17"/>
      <c r="N47" s="17"/>
      <c r="O47" s="17"/>
      <c r="P47" s="17"/>
      <c r="Q47" s="17"/>
    </row>
    <row r="48" spans="1:17" ht="13.8" x14ac:dyDescent="0.3">
      <c r="A48" s="17"/>
      <c r="B48" s="17"/>
      <c r="C48" s="17"/>
      <c r="D48" s="17" t="s">
        <v>2936</v>
      </c>
      <c r="E48" s="17"/>
      <c r="F48" s="17"/>
      <c r="G48" s="17"/>
      <c r="H48" s="17"/>
      <c r="I48" s="17"/>
      <c r="J48" s="17"/>
      <c r="K48" s="17"/>
      <c r="L48" s="17"/>
      <c r="M48" s="17"/>
      <c r="N48" s="17"/>
      <c r="O48" s="17"/>
      <c r="P48" s="17"/>
      <c r="Q48" s="17"/>
    </row>
    <row r="49" spans="1:17" ht="13.8" x14ac:dyDescent="0.3">
      <c r="A49" s="17"/>
      <c r="B49" s="17"/>
      <c r="C49" s="17"/>
      <c r="D49" s="17" t="s">
        <v>194</v>
      </c>
      <c r="E49" s="17"/>
      <c r="F49" s="17"/>
      <c r="G49" s="17"/>
      <c r="H49" s="17"/>
      <c r="I49" s="17"/>
      <c r="J49" s="17"/>
      <c r="K49" s="17"/>
      <c r="L49" s="17"/>
      <c r="M49" s="17"/>
      <c r="N49" s="17"/>
      <c r="O49" s="17"/>
      <c r="P49" s="17"/>
      <c r="Q49" s="17"/>
    </row>
    <row r="50" spans="1:17" ht="13.8" x14ac:dyDescent="0.3">
      <c r="A50" s="17"/>
      <c r="B50" s="17"/>
      <c r="C50" s="17"/>
      <c r="D50" s="17" t="s">
        <v>2937</v>
      </c>
      <c r="E50" s="17"/>
      <c r="F50" s="17"/>
      <c r="G50" s="17"/>
      <c r="H50" s="17"/>
      <c r="I50" s="17"/>
      <c r="J50" s="17"/>
      <c r="K50" s="17"/>
      <c r="L50" s="17"/>
      <c r="M50" s="17"/>
      <c r="N50" s="17"/>
      <c r="O50" s="17"/>
      <c r="P50" s="17"/>
      <c r="Q50" s="17"/>
    </row>
    <row r="51" spans="1:17" ht="13.8" x14ac:dyDescent="0.3">
      <c r="A51" s="17"/>
      <c r="B51" s="17"/>
      <c r="C51" s="17"/>
      <c r="D51" s="17" t="s">
        <v>486</v>
      </c>
      <c r="E51" s="17"/>
      <c r="F51" s="17"/>
      <c r="G51" s="17"/>
      <c r="H51" s="17"/>
      <c r="I51" s="17"/>
      <c r="J51" s="17"/>
      <c r="K51" s="17"/>
      <c r="L51" s="17"/>
      <c r="M51" s="17"/>
      <c r="N51" s="17"/>
      <c r="O51" s="17"/>
      <c r="P51" s="17"/>
      <c r="Q51" s="17"/>
    </row>
    <row r="52" spans="1:17" ht="13.8" x14ac:dyDescent="0.3">
      <c r="A52" s="17"/>
      <c r="B52" s="17"/>
      <c r="C52" s="17"/>
      <c r="D52" s="17" t="s">
        <v>904</v>
      </c>
      <c r="E52" s="17"/>
      <c r="F52" s="17"/>
      <c r="G52" s="17"/>
      <c r="H52" s="17"/>
      <c r="I52" s="17"/>
      <c r="J52" s="17"/>
      <c r="K52" s="17"/>
      <c r="L52" s="17"/>
      <c r="M52" s="17"/>
      <c r="N52" s="17"/>
      <c r="O52" s="17"/>
      <c r="P52" s="17"/>
      <c r="Q52" s="17"/>
    </row>
    <row r="53" spans="1:17" ht="13.8" x14ac:dyDescent="0.3">
      <c r="A53" s="17"/>
      <c r="B53" s="17"/>
      <c r="C53" s="17"/>
      <c r="D53" s="17" t="s">
        <v>869</v>
      </c>
      <c r="E53" s="17"/>
      <c r="F53" s="17"/>
      <c r="G53" s="17"/>
      <c r="H53" s="17"/>
      <c r="I53" s="17"/>
      <c r="J53" s="17"/>
      <c r="K53" s="17"/>
      <c r="L53" s="17"/>
      <c r="M53" s="17"/>
      <c r="N53" s="17"/>
      <c r="O53" s="17"/>
      <c r="P53" s="17"/>
      <c r="Q53" s="17"/>
    </row>
    <row r="54" spans="1:17" ht="13.8" x14ac:dyDescent="0.3">
      <c r="A54" s="17"/>
      <c r="B54" s="17"/>
      <c r="C54" s="17"/>
      <c r="D54" s="17" t="s">
        <v>925</v>
      </c>
      <c r="E54" s="17"/>
      <c r="F54" s="17"/>
      <c r="G54" s="17"/>
      <c r="H54" s="17"/>
      <c r="I54" s="17"/>
      <c r="J54" s="17"/>
      <c r="K54" s="17"/>
      <c r="L54" s="17"/>
      <c r="M54" s="17"/>
      <c r="N54" s="17"/>
      <c r="O54" s="17"/>
      <c r="P54" s="17"/>
      <c r="Q54" s="17"/>
    </row>
    <row r="55" spans="1:17" ht="13.8" x14ac:dyDescent="0.3">
      <c r="A55" s="17"/>
      <c r="B55" s="17"/>
      <c r="C55" s="17"/>
      <c r="D55" s="17" t="s">
        <v>2938</v>
      </c>
      <c r="E55" s="17"/>
      <c r="F55" s="17"/>
      <c r="G55" s="17"/>
      <c r="H55" s="17"/>
      <c r="I55" s="17"/>
      <c r="J55" s="17"/>
      <c r="K55" s="17"/>
      <c r="L55" s="17"/>
      <c r="M55" s="17"/>
      <c r="N55" s="17"/>
      <c r="O55" s="17"/>
      <c r="P55" s="17"/>
      <c r="Q55" s="17"/>
    </row>
    <row r="56" spans="1:17" ht="13.8" x14ac:dyDescent="0.3">
      <c r="A56" s="17"/>
      <c r="B56" s="17"/>
      <c r="C56" s="17"/>
      <c r="D56" s="17" t="s">
        <v>432</v>
      </c>
      <c r="E56" s="17"/>
      <c r="F56" s="17"/>
      <c r="G56" s="17"/>
      <c r="H56" s="17"/>
      <c r="I56" s="17"/>
      <c r="J56" s="17"/>
      <c r="K56" s="17"/>
      <c r="L56" s="17"/>
      <c r="M56" s="17"/>
      <c r="N56" s="17"/>
      <c r="O56" s="17"/>
      <c r="P56" s="17"/>
      <c r="Q56" s="17"/>
    </row>
    <row r="57" spans="1:17" ht="13.8" x14ac:dyDescent="0.3">
      <c r="A57" s="17"/>
      <c r="B57" s="17"/>
      <c r="C57" s="17"/>
      <c r="D57" s="17" t="s">
        <v>716</v>
      </c>
      <c r="E57" s="17"/>
      <c r="F57" s="17"/>
      <c r="G57" s="17"/>
      <c r="H57" s="17"/>
      <c r="I57" s="17"/>
      <c r="J57" s="17"/>
      <c r="K57" s="17"/>
      <c r="L57" s="17"/>
      <c r="M57" s="17"/>
      <c r="N57" s="17"/>
      <c r="O57" s="17"/>
      <c r="P57" s="17"/>
      <c r="Q57" s="17"/>
    </row>
    <row r="58" spans="1:17" ht="13.8" x14ac:dyDescent="0.3">
      <c r="A58" s="17"/>
      <c r="B58" s="17"/>
      <c r="C58" s="17"/>
      <c r="D58" s="17" t="s">
        <v>159</v>
      </c>
      <c r="E58" s="17"/>
      <c r="F58" s="17"/>
      <c r="G58" s="17"/>
      <c r="H58" s="17"/>
      <c r="I58" s="17"/>
      <c r="J58" s="17"/>
      <c r="K58" s="17"/>
      <c r="L58" s="17"/>
      <c r="M58" s="17"/>
      <c r="N58" s="17"/>
      <c r="O58" s="17"/>
      <c r="P58" s="17"/>
      <c r="Q58" s="17"/>
    </row>
    <row r="59" spans="1:17" ht="13.8" x14ac:dyDescent="0.3">
      <c r="A59" s="17"/>
      <c r="B59" s="17"/>
      <c r="C59" s="17"/>
      <c r="D59" s="17" t="s">
        <v>1197</v>
      </c>
      <c r="E59" s="17"/>
      <c r="F59" s="17"/>
      <c r="G59" s="17"/>
      <c r="H59" s="17"/>
      <c r="I59" s="17"/>
      <c r="J59" s="17"/>
      <c r="K59" s="17"/>
      <c r="L59" s="17"/>
      <c r="M59" s="17"/>
      <c r="N59" s="17"/>
      <c r="O59" s="17"/>
      <c r="P59" s="17"/>
      <c r="Q59" s="17"/>
    </row>
    <row r="60" spans="1:17" ht="13.8" x14ac:dyDescent="0.3">
      <c r="A60" s="17"/>
      <c r="B60" s="17"/>
      <c r="C60" s="17"/>
      <c r="D60" s="17" t="s">
        <v>214</v>
      </c>
      <c r="E60" s="17"/>
      <c r="F60" s="17"/>
      <c r="G60" s="17"/>
      <c r="H60" s="17"/>
      <c r="I60" s="17"/>
      <c r="J60" s="17"/>
      <c r="K60" s="17"/>
      <c r="L60" s="17"/>
      <c r="M60" s="17"/>
      <c r="N60" s="17"/>
      <c r="O60" s="17"/>
      <c r="P60" s="17"/>
      <c r="Q60" s="17"/>
    </row>
    <row r="61" spans="1:17" ht="13.8" x14ac:dyDescent="0.3">
      <c r="A61" s="17"/>
      <c r="B61" s="17"/>
      <c r="C61" s="17"/>
      <c r="D61" s="17" t="s">
        <v>2939</v>
      </c>
      <c r="E61" s="17"/>
      <c r="F61" s="17"/>
      <c r="G61" s="17"/>
      <c r="H61" s="17"/>
      <c r="I61" s="17"/>
      <c r="J61" s="17"/>
      <c r="K61" s="17"/>
      <c r="L61" s="17"/>
      <c r="M61" s="17"/>
      <c r="N61" s="17"/>
      <c r="O61" s="17"/>
      <c r="P61" s="17"/>
      <c r="Q61" s="17"/>
    </row>
    <row r="62" spans="1:17" ht="13.8" x14ac:dyDescent="0.3">
      <c r="A62" s="17"/>
      <c r="B62" s="17"/>
      <c r="C62" s="17"/>
      <c r="D62" s="17" t="s">
        <v>1167</v>
      </c>
      <c r="E62" s="17"/>
      <c r="F62" s="17"/>
      <c r="G62" s="17"/>
      <c r="H62" s="17"/>
      <c r="I62" s="17"/>
      <c r="J62" s="17"/>
      <c r="K62" s="17"/>
      <c r="L62" s="17"/>
      <c r="M62" s="17"/>
      <c r="N62" s="17"/>
      <c r="O62" s="17"/>
      <c r="P62" s="17"/>
      <c r="Q62" s="17"/>
    </row>
    <row r="63" spans="1:17" ht="13.8" x14ac:dyDescent="0.3">
      <c r="A63" s="17"/>
      <c r="B63" s="17"/>
      <c r="C63" s="17"/>
      <c r="D63" s="17" t="s">
        <v>1074</v>
      </c>
      <c r="E63" s="17"/>
      <c r="F63" s="17"/>
      <c r="G63" s="17"/>
      <c r="H63" s="17"/>
      <c r="I63" s="17"/>
      <c r="J63" s="17"/>
      <c r="K63" s="17"/>
      <c r="L63" s="17"/>
      <c r="M63" s="17"/>
      <c r="N63" s="17"/>
      <c r="O63" s="17"/>
      <c r="P63" s="17"/>
      <c r="Q63" s="17"/>
    </row>
    <row r="64" spans="1:17" ht="13.8" x14ac:dyDescent="0.3">
      <c r="A64" s="17"/>
      <c r="B64" s="17"/>
      <c r="C64" s="17"/>
      <c r="D64" s="17" t="s">
        <v>2940</v>
      </c>
      <c r="E64" s="17"/>
      <c r="F64" s="17"/>
      <c r="G64" s="17"/>
      <c r="H64" s="17"/>
      <c r="I64" s="17"/>
      <c r="J64" s="17"/>
      <c r="K64" s="17"/>
      <c r="L64" s="17"/>
      <c r="M64" s="17"/>
      <c r="N64" s="17"/>
      <c r="O64" s="17"/>
      <c r="P64" s="17"/>
      <c r="Q64" s="17"/>
    </row>
    <row r="65" spans="1:17" ht="13.8" x14ac:dyDescent="0.3">
      <c r="A65" s="17"/>
      <c r="B65" s="17"/>
      <c r="C65" s="17"/>
      <c r="D65" s="17" t="s">
        <v>2941</v>
      </c>
      <c r="E65" s="17"/>
      <c r="F65" s="17"/>
      <c r="G65" s="17"/>
      <c r="H65" s="17"/>
      <c r="I65" s="17"/>
      <c r="J65" s="17"/>
      <c r="K65" s="17"/>
      <c r="L65" s="17"/>
      <c r="M65" s="17"/>
      <c r="N65" s="17"/>
      <c r="O65" s="17"/>
      <c r="P65" s="17"/>
      <c r="Q65" s="17"/>
    </row>
    <row r="66" spans="1:17" ht="13.8" x14ac:dyDescent="0.3">
      <c r="A66" s="17"/>
      <c r="B66" s="17"/>
      <c r="C66" s="17"/>
      <c r="D66" s="17" t="s">
        <v>504</v>
      </c>
      <c r="E66" s="17"/>
      <c r="F66" s="17"/>
      <c r="G66" s="17"/>
      <c r="H66" s="17"/>
      <c r="I66" s="17"/>
      <c r="J66" s="17"/>
      <c r="K66" s="17"/>
      <c r="L66" s="17"/>
      <c r="M66" s="17"/>
      <c r="N66" s="17"/>
      <c r="O66" s="17"/>
      <c r="P66" s="17"/>
      <c r="Q66" s="17"/>
    </row>
    <row r="67" spans="1:17" ht="13.8" x14ac:dyDescent="0.3">
      <c r="A67" s="17"/>
      <c r="B67" s="17"/>
      <c r="C67" s="17"/>
      <c r="D67" s="17" t="s">
        <v>115</v>
      </c>
      <c r="E67" s="17"/>
      <c r="F67" s="17"/>
      <c r="G67" s="17"/>
      <c r="H67" s="17"/>
      <c r="I67" s="17"/>
      <c r="J67" s="17"/>
      <c r="K67" s="17"/>
      <c r="L67" s="17"/>
      <c r="M67" s="17"/>
      <c r="N67" s="17"/>
      <c r="O67" s="17"/>
      <c r="P67" s="17"/>
      <c r="Q67" s="17"/>
    </row>
    <row r="68" spans="1:17" ht="13.8" x14ac:dyDescent="0.3">
      <c r="A68" s="17"/>
      <c r="B68" s="17"/>
      <c r="C68" s="17"/>
      <c r="D68" s="17" t="s">
        <v>2185</v>
      </c>
      <c r="E68" s="17"/>
      <c r="F68" s="17"/>
      <c r="G68" s="17"/>
      <c r="H68" s="17"/>
      <c r="I68" s="17"/>
      <c r="J68" s="17"/>
      <c r="K68" s="17"/>
      <c r="L68" s="17"/>
      <c r="M68" s="17"/>
      <c r="N68" s="17"/>
      <c r="O68" s="17"/>
      <c r="P68" s="17"/>
      <c r="Q68" s="17"/>
    </row>
    <row r="69" spans="1:17" ht="13.8" x14ac:dyDescent="0.3">
      <c r="A69" s="17"/>
      <c r="B69" s="17"/>
      <c r="C69" s="17"/>
      <c r="D69" s="17" t="s">
        <v>207</v>
      </c>
      <c r="E69" s="17"/>
      <c r="F69" s="17"/>
      <c r="G69" s="17"/>
      <c r="H69" s="17"/>
      <c r="I69" s="17"/>
      <c r="J69" s="17"/>
      <c r="K69" s="17"/>
      <c r="L69" s="17"/>
      <c r="M69" s="17"/>
      <c r="N69" s="17"/>
      <c r="O69" s="17"/>
      <c r="P69" s="17"/>
      <c r="Q69" s="17"/>
    </row>
    <row r="70" spans="1:17" ht="13.8" x14ac:dyDescent="0.3">
      <c r="A70" s="17"/>
      <c r="B70" s="17"/>
      <c r="C70" s="17"/>
      <c r="D70" s="17" t="s">
        <v>2942</v>
      </c>
      <c r="E70" s="17"/>
      <c r="F70" s="17"/>
      <c r="G70" s="17"/>
      <c r="H70" s="17"/>
      <c r="I70" s="17"/>
      <c r="J70" s="17"/>
      <c r="K70" s="17"/>
      <c r="L70" s="17"/>
      <c r="M70" s="17"/>
      <c r="N70" s="17"/>
      <c r="O70" s="17"/>
      <c r="P70" s="17"/>
      <c r="Q70" s="17"/>
    </row>
    <row r="71" spans="1:17" ht="13.8" x14ac:dyDescent="0.3">
      <c r="A71" s="17"/>
      <c r="B71" s="17"/>
      <c r="C71" s="17"/>
      <c r="D71" s="17" t="s">
        <v>812</v>
      </c>
      <c r="E71" s="17"/>
      <c r="F71" s="17"/>
      <c r="G71" s="17"/>
      <c r="H71" s="17"/>
      <c r="I71" s="17"/>
      <c r="J71" s="17"/>
      <c r="K71" s="17"/>
      <c r="L71" s="17"/>
      <c r="M71" s="17"/>
      <c r="N71" s="17"/>
      <c r="O71" s="17"/>
      <c r="P71" s="17"/>
      <c r="Q71" s="17"/>
    </row>
    <row r="72" spans="1:17" ht="13.8" x14ac:dyDescent="0.3">
      <c r="A72" s="17"/>
      <c r="B72" s="17"/>
      <c r="C72" s="17"/>
      <c r="D72" s="17" t="s">
        <v>2943</v>
      </c>
      <c r="E72" s="17"/>
      <c r="F72" s="17"/>
      <c r="G72" s="17"/>
      <c r="H72" s="17"/>
      <c r="I72" s="17"/>
      <c r="J72" s="17"/>
      <c r="K72" s="17"/>
      <c r="L72" s="17"/>
      <c r="M72" s="17"/>
      <c r="N72" s="17"/>
      <c r="O72" s="17"/>
      <c r="P72" s="17"/>
      <c r="Q72" s="17"/>
    </row>
    <row r="73" spans="1:17" ht="13.8" x14ac:dyDescent="0.3">
      <c r="A73" s="17"/>
      <c r="B73" s="17"/>
      <c r="C73" s="17"/>
      <c r="D73" s="17" t="s">
        <v>663</v>
      </c>
      <c r="E73" s="17"/>
      <c r="F73" s="17"/>
      <c r="G73" s="17"/>
      <c r="H73" s="17"/>
      <c r="I73" s="17"/>
      <c r="J73" s="17"/>
      <c r="K73" s="17"/>
      <c r="L73" s="17"/>
      <c r="M73" s="17"/>
      <c r="N73" s="17"/>
      <c r="O73" s="17"/>
      <c r="P73" s="17"/>
      <c r="Q73" s="17"/>
    </row>
    <row r="74" spans="1:17" ht="13.8" x14ac:dyDescent="0.3">
      <c r="A74" s="17"/>
      <c r="B74" s="17"/>
      <c r="C74" s="17"/>
      <c r="D74" s="17" t="s">
        <v>2944</v>
      </c>
      <c r="E74" s="17"/>
      <c r="F74" s="17"/>
      <c r="G74" s="17"/>
      <c r="H74" s="17"/>
      <c r="I74" s="17"/>
      <c r="J74" s="17"/>
      <c r="K74" s="17"/>
      <c r="L74" s="17"/>
      <c r="M74" s="17"/>
      <c r="N74" s="17"/>
      <c r="O74" s="17"/>
      <c r="P74" s="17"/>
      <c r="Q74" s="17"/>
    </row>
    <row r="75" spans="1:17" ht="13.8" x14ac:dyDescent="0.3">
      <c r="A75" s="17"/>
      <c r="B75" s="17"/>
      <c r="C75" s="17"/>
      <c r="D75" s="17" t="s">
        <v>2945</v>
      </c>
      <c r="E75" s="17"/>
      <c r="F75" s="17"/>
      <c r="G75" s="17"/>
      <c r="H75" s="17"/>
      <c r="I75" s="17"/>
      <c r="J75" s="17"/>
      <c r="K75" s="17"/>
      <c r="L75" s="17"/>
      <c r="M75" s="17"/>
      <c r="N75" s="17"/>
      <c r="O75" s="17"/>
      <c r="P75" s="17"/>
      <c r="Q75" s="17"/>
    </row>
    <row r="76" spans="1:17" ht="13.8" x14ac:dyDescent="0.3">
      <c r="A76" s="17"/>
      <c r="B76" s="17"/>
      <c r="C76" s="17"/>
      <c r="D76" s="17" t="s">
        <v>2946</v>
      </c>
      <c r="E76" s="17"/>
      <c r="F76" s="17"/>
      <c r="G76" s="17"/>
      <c r="H76" s="17"/>
      <c r="I76" s="17"/>
      <c r="J76" s="17"/>
      <c r="K76" s="17"/>
      <c r="L76" s="17"/>
      <c r="M76" s="17"/>
      <c r="N76" s="17"/>
      <c r="O76" s="17"/>
      <c r="P76" s="17"/>
      <c r="Q76" s="17"/>
    </row>
    <row r="77" spans="1:17" ht="13.8" x14ac:dyDescent="0.3">
      <c r="D77" s="17" t="s">
        <v>2947</v>
      </c>
    </row>
  </sheetData>
  <pageMargins left="0.7" right="0.7" top="0.75" bottom="0.75" header="0.3" footer="0.3"/>
  <customProperties>
    <customPr name="_pios_id" r:id="rId1"/>
  </customPropertie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EFCF-A056-4FF4-9D68-F55C5FC88850}">
  <sheetPr codeName="Sheet8"/>
  <dimension ref="A1:DK383"/>
  <sheetViews>
    <sheetView topLeftCell="C1" workbookViewId="0">
      <selection activeCell="B4" sqref="B4"/>
    </sheetView>
  </sheetViews>
  <sheetFormatPr defaultColWidth="24.109375" defaultRowHeight="14.4" x14ac:dyDescent="0.3"/>
  <cols>
    <col min="2" max="2" width="58" customWidth="1"/>
    <col min="5" max="9" width="30.6640625" bestFit="1" customWidth="1"/>
    <col min="11" max="14" width="30.6640625" bestFit="1" customWidth="1"/>
    <col min="17" max="21" width="30.6640625" bestFit="1" customWidth="1"/>
    <col min="24" max="25" width="30.6640625" bestFit="1" customWidth="1"/>
    <col min="27" max="36" width="30.6640625" bestFit="1" customWidth="1"/>
    <col min="39" max="40" width="30.6640625" bestFit="1" customWidth="1"/>
    <col min="41" max="41" width="26.44140625" bestFit="1" customWidth="1"/>
    <col min="44" max="46" width="30.6640625" bestFit="1" customWidth="1"/>
    <col min="50" max="50" width="28" bestFit="1" customWidth="1"/>
    <col min="51" max="51" width="25.5546875" bestFit="1" customWidth="1"/>
    <col min="52" max="52" width="25.44140625" bestFit="1" customWidth="1"/>
    <col min="59" max="59" width="30.109375" bestFit="1" customWidth="1"/>
    <col min="61" max="61" width="27.33203125" bestFit="1" customWidth="1"/>
    <col min="62" max="65" width="30.6640625" bestFit="1" customWidth="1"/>
    <col min="67" max="67" width="30.6640625" bestFit="1" customWidth="1"/>
    <col min="69" max="69" width="40.6640625" customWidth="1"/>
    <col min="70" max="81" width="30.6640625" bestFit="1" customWidth="1"/>
    <col min="82" max="82" width="26.33203125" bestFit="1" customWidth="1"/>
    <col min="84" max="90" width="30.6640625" bestFit="1" customWidth="1"/>
    <col min="92" max="92" width="30.6640625" bestFit="1" customWidth="1"/>
    <col min="95" max="96" width="30.6640625" bestFit="1" customWidth="1"/>
    <col min="97" max="97" width="61.5546875" style="138" customWidth="1"/>
    <col min="98" max="98" width="69.88671875" customWidth="1"/>
    <col min="101" max="101" width="30.6640625" bestFit="1" customWidth="1"/>
    <col min="102" max="102" width="24.6640625" bestFit="1" customWidth="1"/>
    <col min="103" max="104" width="26.44140625" bestFit="1" customWidth="1"/>
    <col min="105" max="105" width="25.88671875" bestFit="1" customWidth="1"/>
    <col min="106" max="106" width="28.5546875" bestFit="1" customWidth="1"/>
    <col min="107" max="107" width="28.109375" bestFit="1" customWidth="1"/>
    <col min="108" max="109" width="25.33203125" bestFit="1" customWidth="1"/>
    <col min="110" max="110" width="25" bestFit="1" customWidth="1"/>
    <col min="111" max="111" width="26.6640625" bestFit="1" customWidth="1"/>
    <col min="112" max="112" width="26.44140625" bestFit="1" customWidth="1"/>
  </cols>
  <sheetData>
    <row r="1" spans="1:115" ht="34.5" customHeight="1" x14ac:dyDescent="0.3">
      <c r="A1" s="27" t="s">
        <v>2948</v>
      </c>
      <c r="B1" s="1" t="s">
        <v>2949</v>
      </c>
      <c r="C1" s="1" t="s">
        <v>2950</v>
      </c>
      <c r="D1" s="1" t="s">
        <v>2951</v>
      </c>
      <c r="E1" s="1" t="s">
        <v>2952</v>
      </c>
      <c r="F1" s="10" t="s">
        <v>2953</v>
      </c>
      <c r="G1" s="1" t="s">
        <v>21</v>
      </c>
      <c r="H1" s="1" t="s">
        <v>22</v>
      </c>
      <c r="I1" s="1" t="s">
        <v>23</v>
      </c>
      <c r="J1" s="10" t="s">
        <v>24</v>
      </c>
      <c r="K1" s="1" t="s">
        <v>25</v>
      </c>
      <c r="L1" s="1" t="s">
        <v>26</v>
      </c>
      <c r="M1" s="10" t="s">
        <v>27</v>
      </c>
      <c r="N1" s="28" t="s">
        <v>28</v>
      </c>
      <c r="O1" s="26" t="s">
        <v>2954</v>
      </c>
      <c r="P1" s="29" t="s">
        <v>2955</v>
      </c>
      <c r="Q1" s="10" t="s">
        <v>2956</v>
      </c>
      <c r="R1" s="10" t="s">
        <v>2957</v>
      </c>
      <c r="S1" s="10" t="s">
        <v>2958</v>
      </c>
      <c r="T1" s="10" t="s">
        <v>2959</v>
      </c>
      <c r="U1" s="10" t="s">
        <v>2960</v>
      </c>
      <c r="V1" s="10" t="s">
        <v>35</v>
      </c>
      <c r="W1" s="10" t="s">
        <v>36</v>
      </c>
      <c r="X1" s="1" t="s">
        <v>2961</v>
      </c>
      <c r="Y1" s="1" t="s">
        <v>2962</v>
      </c>
      <c r="Z1" s="29" t="s">
        <v>2963</v>
      </c>
      <c r="AA1" s="10" t="s">
        <v>2964</v>
      </c>
      <c r="AB1" s="10" t="s">
        <v>2965</v>
      </c>
      <c r="AC1" s="10" t="s">
        <v>40</v>
      </c>
      <c r="AD1" s="10" t="s">
        <v>41</v>
      </c>
      <c r="AE1" s="1" t="s">
        <v>2966</v>
      </c>
      <c r="AF1" s="141" t="s">
        <v>2967</v>
      </c>
      <c r="AG1" s="141" t="s">
        <v>2968</v>
      </c>
      <c r="AH1" s="141" t="s">
        <v>2969</v>
      </c>
      <c r="AI1" s="30" t="s">
        <v>45</v>
      </c>
      <c r="AJ1" s="141" t="s">
        <v>2970</v>
      </c>
      <c r="AK1" s="10" t="s">
        <v>47</v>
      </c>
      <c r="AL1" s="10" t="s">
        <v>2971</v>
      </c>
      <c r="AM1" s="10" t="s">
        <v>49</v>
      </c>
      <c r="AN1" s="10" t="s">
        <v>50</v>
      </c>
      <c r="AO1" s="31" t="s">
        <v>2972</v>
      </c>
      <c r="AP1" s="10" t="s">
        <v>2973</v>
      </c>
      <c r="AQ1" s="10" t="s">
        <v>2974</v>
      </c>
      <c r="AR1" s="10" t="s">
        <v>2975</v>
      </c>
      <c r="AS1" s="10" t="s">
        <v>2976</v>
      </c>
      <c r="AT1" s="10" t="s">
        <v>2977</v>
      </c>
      <c r="AU1" s="10" t="s">
        <v>57</v>
      </c>
      <c r="AV1" s="10" t="s">
        <v>2978</v>
      </c>
      <c r="AW1" s="26" t="s">
        <v>2979</v>
      </c>
      <c r="AX1" s="30" t="s">
        <v>2980</v>
      </c>
      <c r="AY1" s="10" t="s">
        <v>2981</v>
      </c>
      <c r="AZ1" s="10" t="s">
        <v>2982</v>
      </c>
      <c r="BA1" s="10" t="s">
        <v>2983</v>
      </c>
      <c r="BB1" s="10" t="s">
        <v>2984</v>
      </c>
      <c r="BC1" s="10" t="s">
        <v>2985</v>
      </c>
      <c r="BD1" s="10" t="s">
        <v>2986</v>
      </c>
      <c r="BE1" s="10" t="s">
        <v>2987</v>
      </c>
      <c r="BF1" s="10" t="s">
        <v>2988</v>
      </c>
      <c r="BG1" s="10" t="s">
        <v>3</v>
      </c>
      <c r="BH1" s="10" t="s">
        <v>68</v>
      </c>
      <c r="BI1" s="32" t="s">
        <v>2989</v>
      </c>
      <c r="BJ1" s="10" t="s">
        <v>2990</v>
      </c>
      <c r="BK1" s="10" t="s">
        <v>2991</v>
      </c>
      <c r="BL1" s="10" t="s">
        <v>72</v>
      </c>
      <c r="BM1" s="10" t="s">
        <v>73</v>
      </c>
      <c r="BN1" s="10" t="s">
        <v>74</v>
      </c>
      <c r="BO1" s="10" t="s">
        <v>2992</v>
      </c>
      <c r="BP1" s="10" t="s">
        <v>76</v>
      </c>
      <c r="BQ1" s="37" t="s">
        <v>2993</v>
      </c>
      <c r="BR1" s="37" t="s">
        <v>78</v>
      </c>
      <c r="BS1" s="37" t="s">
        <v>79</v>
      </c>
      <c r="BT1" s="37" t="s">
        <v>80</v>
      </c>
      <c r="BU1" s="37" t="s">
        <v>81</v>
      </c>
      <c r="BV1" s="37" t="s">
        <v>82</v>
      </c>
      <c r="BW1" s="37" t="s">
        <v>2994</v>
      </c>
      <c r="BX1" s="37" t="s">
        <v>2995</v>
      </c>
      <c r="BY1" s="37" t="s">
        <v>85</v>
      </c>
      <c r="BZ1" s="37" t="s">
        <v>86</v>
      </c>
      <c r="CA1" s="37" t="s">
        <v>87</v>
      </c>
      <c r="CB1" s="10" t="s">
        <v>88</v>
      </c>
      <c r="CC1" s="10" t="s">
        <v>2996</v>
      </c>
      <c r="CD1" s="10" t="s">
        <v>90</v>
      </c>
      <c r="CE1" s="10" t="s">
        <v>91</v>
      </c>
      <c r="CF1" s="10" t="s">
        <v>2997</v>
      </c>
      <c r="CG1" s="10" t="s">
        <v>2998</v>
      </c>
      <c r="CH1" s="10" t="s">
        <v>94</v>
      </c>
      <c r="CI1" s="10" t="s">
        <v>95</v>
      </c>
      <c r="CJ1" s="10" t="s">
        <v>96</v>
      </c>
      <c r="CK1" s="10" t="s">
        <v>97</v>
      </c>
      <c r="CL1" s="10" t="s">
        <v>99</v>
      </c>
      <c r="CM1" s="10" t="s">
        <v>2999</v>
      </c>
      <c r="CN1" s="10" t="s">
        <v>101</v>
      </c>
      <c r="CO1" s="10" t="s">
        <v>102</v>
      </c>
      <c r="CP1" s="10" t="s">
        <v>3000</v>
      </c>
      <c r="CQ1" s="10" t="s">
        <v>3001</v>
      </c>
      <c r="CR1" s="10" t="s">
        <v>3002</v>
      </c>
      <c r="CS1" s="31" t="s">
        <v>3003</v>
      </c>
      <c r="CT1" s="10" t="s">
        <v>3004</v>
      </c>
      <c r="CU1" s="139" t="s">
        <v>3005</v>
      </c>
      <c r="CV1" s="139" t="s">
        <v>3006</v>
      </c>
      <c r="CW1" s="140" t="s">
        <v>3007</v>
      </c>
      <c r="CX1" s="33" t="s">
        <v>3008</v>
      </c>
      <c r="CY1" s="34" t="s">
        <v>3009</v>
      </c>
      <c r="CZ1" s="34" t="s">
        <v>3010</v>
      </c>
      <c r="DA1" s="35" t="s">
        <v>3011</v>
      </c>
      <c r="DB1" s="35" t="s">
        <v>3012</v>
      </c>
      <c r="DC1" s="35" t="s">
        <v>3013</v>
      </c>
      <c r="DD1" s="10" t="s">
        <v>3014</v>
      </c>
      <c r="DE1" s="10" t="s">
        <v>3015</v>
      </c>
      <c r="DF1" s="10" t="s">
        <v>3016</v>
      </c>
      <c r="DG1" s="10" t="s">
        <v>3017</v>
      </c>
      <c r="DH1" s="10" t="s">
        <v>3018</v>
      </c>
      <c r="DI1" s="10" t="s">
        <v>3019</v>
      </c>
      <c r="DJ1" s="36" t="s">
        <v>3020</v>
      </c>
      <c r="DK1" s="137" t="s">
        <v>3021</v>
      </c>
    </row>
    <row r="2" spans="1:115" ht="92.4" x14ac:dyDescent="0.3">
      <c r="A2" s="2">
        <v>1</v>
      </c>
      <c r="B2" s="43" t="s">
        <v>108</v>
      </c>
      <c r="C2" s="2" t="s">
        <v>109</v>
      </c>
      <c r="D2" s="2" t="s">
        <v>109</v>
      </c>
      <c r="E2" s="2" t="s">
        <v>109</v>
      </c>
      <c r="F2" s="47" t="s">
        <v>110</v>
      </c>
      <c r="G2" s="2" t="s">
        <v>111</v>
      </c>
      <c r="H2" s="2" t="s">
        <v>146</v>
      </c>
      <c r="I2" s="2" t="s">
        <v>113</v>
      </c>
      <c r="J2" s="2" t="s">
        <v>109</v>
      </c>
      <c r="K2" s="2" t="s">
        <v>114</v>
      </c>
      <c r="L2" s="2" t="s">
        <v>115</v>
      </c>
      <c r="M2" s="2" t="s">
        <v>109</v>
      </c>
      <c r="N2" s="2" t="s">
        <v>109</v>
      </c>
      <c r="O2" s="2" t="s">
        <v>109</v>
      </c>
      <c r="Q2" s="2" t="s">
        <v>109</v>
      </c>
      <c r="R2" s="2" t="s">
        <v>109</v>
      </c>
      <c r="S2" s="2" t="s">
        <v>109</v>
      </c>
      <c r="T2" s="2" t="s">
        <v>109</v>
      </c>
      <c r="U2" s="2" t="s">
        <v>116</v>
      </c>
      <c r="V2" s="2" t="s">
        <v>3022</v>
      </c>
      <c r="W2" s="2" t="b">
        <v>0</v>
      </c>
      <c r="X2" s="2" t="s">
        <v>109</v>
      </c>
      <c r="Y2" s="2" t="s">
        <v>107</v>
      </c>
      <c r="AA2" s="2" t="s">
        <v>118</v>
      </c>
      <c r="AB2" s="2" t="s">
        <v>118</v>
      </c>
      <c r="AC2" s="2" t="s">
        <v>119</v>
      </c>
      <c r="AD2" s="2" t="s">
        <v>109</v>
      </c>
      <c r="AE2" s="2">
        <v>4.0999999999999996</v>
      </c>
      <c r="AF2" s="2" t="s">
        <v>3023</v>
      </c>
      <c r="AG2" s="3" t="s">
        <v>3024</v>
      </c>
      <c r="AH2" s="3" t="s">
        <v>3025</v>
      </c>
      <c r="AI2" s="2">
        <v>125</v>
      </c>
      <c r="AJ2" s="2" t="s">
        <v>3026</v>
      </c>
      <c r="AK2" s="2" t="s">
        <v>121</v>
      </c>
      <c r="AL2" s="2" t="s">
        <v>3027</v>
      </c>
      <c r="AM2" s="68">
        <v>45247</v>
      </c>
      <c r="AN2" s="2" t="s">
        <v>122</v>
      </c>
      <c r="AO2" s="2" t="s">
        <v>109</v>
      </c>
      <c r="AP2" s="109" t="s">
        <v>109</v>
      </c>
      <c r="AQ2" s="2" t="b">
        <v>0</v>
      </c>
      <c r="AR2" s="2" t="s">
        <v>109</v>
      </c>
      <c r="AS2" s="2" t="s">
        <v>109</v>
      </c>
      <c r="AT2" s="2" t="s">
        <v>118</v>
      </c>
      <c r="AU2" s="2" t="b">
        <v>0</v>
      </c>
      <c r="AV2" s="2" t="s">
        <v>109</v>
      </c>
      <c r="AW2" s="2" t="s">
        <v>118</v>
      </c>
      <c r="AY2" s="2" t="s">
        <v>109</v>
      </c>
      <c r="AZ2" s="2" t="s">
        <v>109</v>
      </c>
      <c r="BA2" s="2" t="s">
        <v>118</v>
      </c>
      <c r="BB2" s="2" t="s">
        <v>118</v>
      </c>
      <c r="BC2" s="2" t="s">
        <v>109</v>
      </c>
      <c r="BD2" s="68" t="s">
        <v>109</v>
      </c>
      <c r="BE2" s="7" t="s">
        <v>109</v>
      </c>
      <c r="BF2" s="2" t="s">
        <v>109</v>
      </c>
      <c r="BG2" s="2" t="s">
        <v>126</v>
      </c>
      <c r="BH2" s="2" t="s">
        <v>109</v>
      </c>
      <c r="BI2" s="68" t="s">
        <v>109</v>
      </c>
      <c r="BJ2" s="68">
        <v>45657</v>
      </c>
      <c r="BK2" s="68" t="s">
        <v>109</v>
      </c>
      <c r="BL2" s="98" t="s">
        <v>109</v>
      </c>
      <c r="BM2" s="2" t="s">
        <v>109</v>
      </c>
      <c r="BN2" s="2" t="b">
        <v>1</v>
      </c>
      <c r="BO2" s="85" t="s">
        <v>109</v>
      </c>
      <c r="BP2" s="132" t="s">
        <v>128</v>
      </c>
      <c r="CF2" s="2" t="s">
        <v>129</v>
      </c>
      <c r="CS2" s="142" t="s">
        <v>130</v>
      </c>
      <c r="CU2" s="132" t="s">
        <v>3028</v>
      </c>
      <c r="CW2" s="2" t="s">
        <v>3029</v>
      </c>
      <c r="CX2" s="38"/>
    </row>
    <row r="3" spans="1:115" ht="39.6" x14ac:dyDescent="0.3">
      <c r="A3" s="4">
        <v>2</v>
      </c>
      <c r="B3" s="44" t="s">
        <v>131</v>
      </c>
      <c r="C3" s="4" t="s">
        <v>109</v>
      </c>
      <c r="D3" s="4" t="s">
        <v>109</v>
      </c>
      <c r="E3" s="4" t="s">
        <v>109</v>
      </c>
      <c r="F3" s="46" t="s">
        <v>132</v>
      </c>
      <c r="G3" s="64" t="s">
        <v>133</v>
      </c>
      <c r="H3" s="64" t="s">
        <v>113</v>
      </c>
      <c r="I3" s="64" t="s">
        <v>109</v>
      </c>
      <c r="J3" s="64" t="s">
        <v>109</v>
      </c>
      <c r="K3" s="64" t="s">
        <v>134</v>
      </c>
      <c r="L3" s="65" t="s">
        <v>115</v>
      </c>
      <c r="M3" s="64" t="s">
        <v>109</v>
      </c>
      <c r="N3" s="64" t="s">
        <v>109</v>
      </c>
      <c r="O3" s="66">
        <v>45304.5</v>
      </c>
      <c r="Q3" s="64" t="s">
        <v>109</v>
      </c>
      <c r="R3" s="64" t="s">
        <v>109</v>
      </c>
      <c r="S3" s="64" t="s">
        <v>109</v>
      </c>
      <c r="T3" s="64" t="s">
        <v>109</v>
      </c>
      <c r="U3" s="4" t="s">
        <v>116</v>
      </c>
      <c r="V3" s="4" t="s">
        <v>3022</v>
      </c>
      <c r="W3" s="4" t="b">
        <v>0</v>
      </c>
      <c r="X3" s="4" t="s">
        <v>109</v>
      </c>
      <c r="Y3" s="4" t="s">
        <v>107</v>
      </c>
      <c r="AA3" s="4" t="s">
        <v>109</v>
      </c>
      <c r="AB3" s="4" t="s">
        <v>109</v>
      </c>
      <c r="AC3" s="4" t="s">
        <v>109</v>
      </c>
      <c r="AD3" s="4" t="s">
        <v>109</v>
      </c>
      <c r="AE3" s="4">
        <v>4.0999999999999996</v>
      </c>
      <c r="AF3" s="4" t="s">
        <v>3030</v>
      </c>
      <c r="AG3" s="5" t="s">
        <v>3024</v>
      </c>
      <c r="AH3" s="5" t="s">
        <v>3031</v>
      </c>
      <c r="AI3" s="4">
        <v>1</v>
      </c>
      <c r="AJ3" s="4" t="s">
        <v>3026</v>
      </c>
      <c r="AK3" s="4" t="s">
        <v>121</v>
      </c>
      <c r="AL3" s="4" t="s">
        <v>3027</v>
      </c>
      <c r="AM3" s="69">
        <v>44557</v>
      </c>
      <c r="AN3" s="4" t="s">
        <v>122</v>
      </c>
      <c r="AO3" s="4" t="s">
        <v>109</v>
      </c>
      <c r="AP3" s="217" t="s">
        <v>109</v>
      </c>
      <c r="AQ3" s="4" t="b">
        <v>0</v>
      </c>
      <c r="AR3" s="4" t="s">
        <v>109</v>
      </c>
      <c r="AS3" s="4" t="s">
        <v>109</v>
      </c>
      <c r="AT3" s="4" t="s">
        <v>118</v>
      </c>
      <c r="AU3" s="4" t="b">
        <v>0</v>
      </c>
      <c r="AV3" s="4" t="s">
        <v>109</v>
      </c>
      <c r="AW3" s="4" t="s">
        <v>109</v>
      </c>
      <c r="AY3" s="4" t="s">
        <v>109</v>
      </c>
      <c r="AZ3" s="4" t="s">
        <v>109</v>
      </c>
      <c r="BA3" s="4" t="s">
        <v>109</v>
      </c>
      <c r="BB3" s="4" t="s">
        <v>109</v>
      </c>
      <c r="BC3" s="4" t="s">
        <v>135</v>
      </c>
      <c r="BD3" s="69" t="s">
        <v>109</v>
      </c>
      <c r="BE3" s="6" t="s">
        <v>109</v>
      </c>
      <c r="BF3" s="4" t="s">
        <v>109</v>
      </c>
      <c r="BG3" s="4" t="s">
        <v>126</v>
      </c>
      <c r="BH3" s="4" t="s">
        <v>109</v>
      </c>
      <c r="BI3" s="69">
        <v>44923</v>
      </c>
      <c r="BJ3" s="69">
        <v>44926</v>
      </c>
      <c r="BK3" s="69" t="s">
        <v>109</v>
      </c>
      <c r="BL3" s="97" t="s">
        <v>246</v>
      </c>
      <c r="BM3" s="97" t="s">
        <v>109</v>
      </c>
      <c r="BN3" s="4" t="b">
        <v>1</v>
      </c>
      <c r="BO3" s="130" t="s">
        <v>109</v>
      </c>
      <c r="BP3" s="216" t="s">
        <v>128</v>
      </c>
      <c r="CF3" s="4" t="s">
        <v>270</v>
      </c>
      <c r="CS3" s="143" t="s">
        <v>140</v>
      </c>
      <c r="CU3" s="216" t="s">
        <v>3028</v>
      </c>
      <c r="CW3" s="63" t="s">
        <v>3032</v>
      </c>
      <c r="CX3" s="39"/>
    </row>
    <row r="4" spans="1:115" ht="15" x14ac:dyDescent="0.3">
      <c r="A4" s="2">
        <v>3</v>
      </c>
      <c r="B4" s="45" t="s">
        <v>141</v>
      </c>
      <c r="C4" s="51">
        <v>32.819916999999997</v>
      </c>
      <c r="D4" s="52" t="s">
        <v>142</v>
      </c>
      <c r="E4" s="2" t="s">
        <v>143</v>
      </c>
      <c r="F4" s="47" t="s">
        <v>144</v>
      </c>
      <c r="G4" s="218" t="s">
        <v>145</v>
      </c>
      <c r="H4" s="67" t="s">
        <v>146</v>
      </c>
      <c r="I4" s="67" t="s">
        <v>113</v>
      </c>
      <c r="J4" s="67" t="s">
        <v>109</v>
      </c>
      <c r="K4" s="67" t="s">
        <v>114</v>
      </c>
      <c r="L4" s="67" t="s">
        <v>115</v>
      </c>
      <c r="M4" s="67" t="s">
        <v>109</v>
      </c>
      <c r="N4" s="67" t="s">
        <v>109</v>
      </c>
      <c r="O4" s="68">
        <v>45560</v>
      </c>
      <c r="Q4" s="67">
        <v>6</v>
      </c>
      <c r="R4" s="67" t="s">
        <v>109</v>
      </c>
      <c r="S4" s="67" t="s">
        <v>109</v>
      </c>
      <c r="T4" s="67" t="s">
        <v>109</v>
      </c>
      <c r="U4" s="2" t="s">
        <v>116</v>
      </c>
      <c r="V4" s="2" t="s">
        <v>3022</v>
      </c>
      <c r="W4" s="2" t="b">
        <v>0</v>
      </c>
      <c r="X4" s="2" t="s">
        <v>109</v>
      </c>
      <c r="Y4" s="2" t="s">
        <v>3033</v>
      </c>
      <c r="AA4" s="2" t="s">
        <v>109</v>
      </c>
      <c r="AB4" s="2">
        <v>0.17</v>
      </c>
      <c r="AC4" s="2">
        <v>69</v>
      </c>
      <c r="AD4" s="2" t="s">
        <v>148</v>
      </c>
      <c r="AE4" s="2">
        <v>4.0999999999999996</v>
      </c>
      <c r="AF4" s="2" t="s">
        <v>3034</v>
      </c>
      <c r="AG4" s="3" t="s">
        <v>3024</v>
      </c>
      <c r="AH4" s="3" t="s">
        <v>3035</v>
      </c>
      <c r="AI4" s="2">
        <v>1</v>
      </c>
      <c r="AJ4" s="2" t="s">
        <v>3026</v>
      </c>
      <c r="AK4" s="2" t="s">
        <v>121</v>
      </c>
      <c r="AL4" s="2" t="s">
        <v>3027</v>
      </c>
      <c r="AM4" s="68">
        <v>43733</v>
      </c>
      <c r="AN4" s="2" t="s">
        <v>122</v>
      </c>
      <c r="AO4" s="2" t="s">
        <v>109</v>
      </c>
      <c r="AP4" s="109" t="s">
        <v>109</v>
      </c>
      <c r="AQ4" s="2" t="b">
        <v>0</v>
      </c>
      <c r="AR4" s="2" t="s">
        <v>109</v>
      </c>
      <c r="AS4" s="2" t="s">
        <v>109</v>
      </c>
      <c r="AT4" s="2" t="s">
        <v>118</v>
      </c>
      <c r="AU4" s="2" t="b">
        <v>0</v>
      </c>
      <c r="AV4" s="2" t="s">
        <v>109</v>
      </c>
      <c r="AW4" s="2" t="s">
        <v>109</v>
      </c>
      <c r="AY4" s="2" t="s">
        <v>109</v>
      </c>
      <c r="AZ4" s="2" t="s">
        <v>109</v>
      </c>
      <c r="BA4" s="2" t="s">
        <v>109</v>
      </c>
      <c r="BB4" s="2" t="s">
        <v>109</v>
      </c>
      <c r="BC4" s="2" t="s">
        <v>135</v>
      </c>
      <c r="BD4" s="2" t="s">
        <v>109</v>
      </c>
      <c r="BE4" s="7" t="s">
        <v>109</v>
      </c>
      <c r="BF4" s="2" t="s">
        <v>109</v>
      </c>
      <c r="BG4" s="2" t="s">
        <v>150</v>
      </c>
      <c r="BH4" s="2" t="s">
        <v>109</v>
      </c>
      <c r="BI4" s="68" t="s">
        <v>151</v>
      </c>
      <c r="BJ4" s="68">
        <v>44196</v>
      </c>
      <c r="BK4" s="68">
        <v>45658</v>
      </c>
      <c r="BL4" s="98" t="s">
        <v>109</v>
      </c>
      <c r="BM4" s="98" t="s">
        <v>109</v>
      </c>
      <c r="BN4" s="2" t="b">
        <v>1</v>
      </c>
      <c r="BO4" s="85" t="s">
        <v>109</v>
      </c>
      <c r="BP4" s="2" t="s">
        <v>128</v>
      </c>
      <c r="CF4" s="2" t="s">
        <v>174</v>
      </c>
      <c r="CS4" s="142"/>
      <c r="CU4" s="132" t="s">
        <v>3028</v>
      </c>
      <c r="CW4" s="2" t="s">
        <v>3036</v>
      </c>
      <c r="CX4" s="38"/>
    </row>
    <row r="5" spans="1:115" ht="39.6" x14ac:dyDescent="0.3">
      <c r="A5" s="4">
        <v>4</v>
      </c>
      <c r="B5" s="44" t="s">
        <v>131</v>
      </c>
      <c r="C5" s="4" t="s">
        <v>109</v>
      </c>
      <c r="D5" s="4" t="s">
        <v>109</v>
      </c>
      <c r="E5" s="4" t="s">
        <v>109</v>
      </c>
      <c r="F5" s="46" t="s">
        <v>132</v>
      </c>
      <c r="G5" s="64" t="s">
        <v>133</v>
      </c>
      <c r="H5" s="64" t="s">
        <v>113</v>
      </c>
      <c r="I5" s="64" t="s">
        <v>109</v>
      </c>
      <c r="J5" s="64" t="s">
        <v>109</v>
      </c>
      <c r="K5" s="64" t="s">
        <v>134</v>
      </c>
      <c r="L5" s="65" t="s">
        <v>115</v>
      </c>
      <c r="M5" s="64" t="s">
        <v>109</v>
      </c>
      <c r="N5" s="64" t="s">
        <v>109</v>
      </c>
      <c r="O5" s="66">
        <v>45304.5</v>
      </c>
      <c r="Q5" s="64" t="s">
        <v>109</v>
      </c>
      <c r="R5" s="64" t="s">
        <v>109</v>
      </c>
      <c r="S5" s="64" t="s">
        <v>109</v>
      </c>
      <c r="T5" s="64" t="s">
        <v>109</v>
      </c>
      <c r="U5" s="4" t="s">
        <v>116</v>
      </c>
      <c r="V5" s="6" t="s">
        <v>3022</v>
      </c>
      <c r="W5" s="4" t="b">
        <v>0</v>
      </c>
      <c r="X5" s="6" t="s">
        <v>109</v>
      </c>
      <c r="Y5" s="6" t="s">
        <v>107</v>
      </c>
      <c r="AA5" s="4" t="s">
        <v>109</v>
      </c>
      <c r="AB5" s="4" t="s">
        <v>109</v>
      </c>
      <c r="AC5" s="4" t="s">
        <v>109</v>
      </c>
      <c r="AD5" s="4" t="s">
        <v>109</v>
      </c>
      <c r="AE5" s="4">
        <v>4.0999999999999996</v>
      </c>
      <c r="AF5" s="4" t="s">
        <v>3030</v>
      </c>
      <c r="AG5" s="5" t="s">
        <v>3024</v>
      </c>
      <c r="AH5" s="5" t="s">
        <v>3037</v>
      </c>
      <c r="AI5" s="4">
        <v>1</v>
      </c>
      <c r="AJ5" s="4" t="s">
        <v>3026</v>
      </c>
      <c r="AK5" s="4" t="s">
        <v>121</v>
      </c>
      <c r="AL5" s="4" t="s">
        <v>3027</v>
      </c>
      <c r="AM5" s="69">
        <v>43924</v>
      </c>
      <c r="AN5" s="4" t="s">
        <v>122</v>
      </c>
      <c r="AO5" s="4" t="s">
        <v>109</v>
      </c>
      <c r="AP5" s="217" t="s">
        <v>109</v>
      </c>
      <c r="AQ5" s="4" t="b">
        <v>0</v>
      </c>
      <c r="AR5" s="4" t="s">
        <v>109</v>
      </c>
      <c r="AS5" s="4" t="s">
        <v>109</v>
      </c>
      <c r="AT5" s="4" t="s">
        <v>118</v>
      </c>
      <c r="AU5" s="4" t="b">
        <v>0</v>
      </c>
      <c r="AV5" s="4" t="s">
        <v>109</v>
      </c>
      <c r="AW5" s="4" t="s">
        <v>109</v>
      </c>
      <c r="AY5" s="4" t="s">
        <v>109</v>
      </c>
      <c r="AZ5" s="4" t="s">
        <v>109</v>
      </c>
      <c r="BA5" s="4" t="s">
        <v>109</v>
      </c>
      <c r="BB5" s="4" t="s">
        <v>109</v>
      </c>
      <c r="BC5" s="6" t="s">
        <v>135</v>
      </c>
      <c r="BD5" s="69" t="s">
        <v>109</v>
      </c>
      <c r="BE5" s="6" t="s">
        <v>109</v>
      </c>
      <c r="BF5" s="4" t="s">
        <v>109</v>
      </c>
      <c r="BG5" s="4" t="s">
        <v>126</v>
      </c>
      <c r="BH5" s="4" t="s">
        <v>109</v>
      </c>
      <c r="BI5" s="69">
        <v>43924</v>
      </c>
      <c r="BJ5" s="69">
        <v>44196</v>
      </c>
      <c r="BK5" s="69" t="s">
        <v>109</v>
      </c>
      <c r="BL5" s="97" t="s">
        <v>246</v>
      </c>
      <c r="BM5" s="97" t="s">
        <v>109</v>
      </c>
      <c r="BN5" s="97" t="b">
        <v>0</v>
      </c>
      <c r="BO5" s="130" t="s">
        <v>109</v>
      </c>
      <c r="BP5" s="4" t="s">
        <v>128</v>
      </c>
      <c r="CF5" s="4" t="s">
        <v>157</v>
      </c>
      <c r="CS5" s="143" t="s">
        <v>140</v>
      </c>
      <c r="CU5" s="216" t="s">
        <v>3028</v>
      </c>
      <c r="CW5" s="63" t="s">
        <v>3032</v>
      </c>
      <c r="CX5" s="39"/>
    </row>
    <row r="6" spans="1:115" x14ac:dyDescent="0.3">
      <c r="A6" s="2">
        <v>5</v>
      </c>
      <c r="B6" s="43" t="s">
        <v>158</v>
      </c>
      <c r="C6" s="2" t="s">
        <v>109</v>
      </c>
      <c r="D6" s="2" t="s">
        <v>109</v>
      </c>
      <c r="E6" s="2" t="s">
        <v>109</v>
      </c>
      <c r="F6" s="47" t="s">
        <v>132</v>
      </c>
      <c r="G6" s="67" t="s">
        <v>133</v>
      </c>
      <c r="H6" s="67" t="s">
        <v>113</v>
      </c>
      <c r="I6" s="67" t="s">
        <v>146</v>
      </c>
      <c r="J6" s="67" t="s">
        <v>109</v>
      </c>
      <c r="K6" s="67" t="s">
        <v>134</v>
      </c>
      <c r="L6" s="67" t="s">
        <v>159</v>
      </c>
      <c r="M6" s="67" t="s">
        <v>109</v>
      </c>
      <c r="N6" s="67" t="s">
        <v>109</v>
      </c>
      <c r="O6" s="2" t="s">
        <v>109</v>
      </c>
      <c r="Q6" s="67" t="s">
        <v>109</v>
      </c>
      <c r="R6" s="67" t="s">
        <v>109</v>
      </c>
      <c r="S6" s="67" t="s">
        <v>109</v>
      </c>
      <c r="T6" s="67" t="s">
        <v>109</v>
      </c>
      <c r="U6" s="2" t="s">
        <v>116</v>
      </c>
      <c r="V6" s="7" t="s">
        <v>3022</v>
      </c>
      <c r="W6" s="2" t="b">
        <v>0</v>
      </c>
      <c r="X6" s="7" t="s">
        <v>109</v>
      </c>
      <c r="Y6" s="7" t="s">
        <v>107</v>
      </c>
      <c r="AA6" s="2" t="s">
        <v>109</v>
      </c>
      <c r="AB6" s="2" t="s">
        <v>109</v>
      </c>
      <c r="AC6" s="2" t="s">
        <v>109</v>
      </c>
      <c r="AD6" s="2" t="s">
        <v>109</v>
      </c>
      <c r="AE6" s="2">
        <v>4.0999999999999996</v>
      </c>
      <c r="AF6" s="2" t="s">
        <v>3030</v>
      </c>
      <c r="AG6" s="3" t="s">
        <v>3024</v>
      </c>
      <c r="AH6" s="3" t="s">
        <v>3038</v>
      </c>
      <c r="AI6" s="2">
        <v>1</v>
      </c>
      <c r="AJ6" s="2" t="s">
        <v>3026</v>
      </c>
      <c r="AK6" s="2" t="s">
        <v>121</v>
      </c>
      <c r="AL6" s="2" t="s">
        <v>3027</v>
      </c>
      <c r="AM6" s="68">
        <v>42660</v>
      </c>
      <c r="AN6" s="2" t="s">
        <v>122</v>
      </c>
      <c r="AO6" s="2" t="s">
        <v>109</v>
      </c>
      <c r="AP6" s="109" t="s">
        <v>109</v>
      </c>
      <c r="AQ6" s="2" t="b">
        <v>0</v>
      </c>
      <c r="AR6" s="2" t="s">
        <v>109</v>
      </c>
      <c r="AS6" s="2" t="s">
        <v>109</v>
      </c>
      <c r="AT6" s="2" t="s">
        <v>118</v>
      </c>
      <c r="AU6" s="2" t="b">
        <v>0</v>
      </c>
      <c r="AV6" s="2" t="s">
        <v>109</v>
      </c>
      <c r="AW6" s="2" t="s">
        <v>109</v>
      </c>
      <c r="AY6" s="2" t="s">
        <v>109</v>
      </c>
      <c r="AZ6" s="2" t="s">
        <v>109</v>
      </c>
      <c r="BA6" s="2" t="s">
        <v>109</v>
      </c>
      <c r="BB6" s="2" t="s">
        <v>109</v>
      </c>
      <c r="BC6" s="7" t="s">
        <v>135</v>
      </c>
      <c r="BD6" s="68" t="s">
        <v>109</v>
      </c>
      <c r="BE6" s="7" t="s">
        <v>109</v>
      </c>
      <c r="BF6" s="2" t="s">
        <v>109</v>
      </c>
      <c r="BG6" s="2" t="s">
        <v>126</v>
      </c>
      <c r="BH6" s="2" t="s">
        <v>109</v>
      </c>
      <c r="BI6" s="68">
        <v>42674</v>
      </c>
      <c r="BJ6" s="68">
        <v>43099</v>
      </c>
      <c r="BK6" s="68" t="s">
        <v>109</v>
      </c>
      <c r="BL6" s="98" t="s">
        <v>109</v>
      </c>
      <c r="BM6" s="98" t="s">
        <v>109</v>
      </c>
      <c r="BN6" s="98" t="b">
        <v>0</v>
      </c>
      <c r="BO6" s="85" t="s">
        <v>109</v>
      </c>
      <c r="BP6" s="2" t="s">
        <v>128</v>
      </c>
      <c r="CF6" s="2" t="s">
        <v>3039</v>
      </c>
      <c r="CS6" s="142"/>
      <c r="CU6" s="132" t="s">
        <v>3028</v>
      </c>
      <c r="CW6" s="2" t="s">
        <v>3029</v>
      </c>
      <c r="CX6" s="38"/>
    </row>
    <row r="7" spans="1:115" x14ac:dyDescent="0.3">
      <c r="A7" s="4">
        <v>6</v>
      </c>
      <c r="B7" s="44" t="s">
        <v>162</v>
      </c>
      <c r="C7" s="53">
        <v>32.6798</v>
      </c>
      <c r="D7" s="54" t="s">
        <v>163</v>
      </c>
      <c r="E7" s="4" t="s">
        <v>164</v>
      </c>
      <c r="F7" s="46" t="s">
        <v>165</v>
      </c>
      <c r="G7" s="64" t="s">
        <v>166</v>
      </c>
      <c r="H7" s="64" t="s">
        <v>146</v>
      </c>
      <c r="I7" s="64" t="s">
        <v>113</v>
      </c>
      <c r="J7" s="64" t="s">
        <v>109</v>
      </c>
      <c r="K7" s="64" t="s">
        <v>114</v>
      </c>
      <c r="L7" s="64" t="s">
        <v>115</v>
      </c>
      <c r="M7" s="64" t="s">
        <v>109</v>
      </c>
      <c r="N7" s="64" t="s">
        <v>109</v>
      </c>
      <c r="O7" s="69">
        <v>45587</v>
      </c>
      <c r="Q7" s="64" t="s">
        <v>167</v>
      </c>
      <c r="R7" s="64" t="s">
        <v>109</v>
      </c>
      <c r="S7" s="64" t="s">
        <v>109</v>
      </c>
      <c r="T7" s="64" t="s">
        <v>109</v>
      </c>
      <c r="U7" s="4" t="s">
        <v>116</v>
      </c>
      <c r="V7" s="4" t="s">
        <v>3022</v>
      </c>
      <c r="W7" s="4" t="b">
        <v>0</v>
      </c>
      <c r="X7" s="4" t="s">
        <v>109</v>
      </c>
      <c r="Y7" s="4" t="s">
        <v>3040</v>
      </c>
      <c r="AA7" s="4" t="s">
        <v>109</v>
      </c>
      <c r="AB7" s="4">
        <v>12.37</v>
      </c>
      <c r="AC7" s="4">
        <v>12</v>
      </c>
      <c r="AD7" s="4" t="s">
        <v>168</v>
      </c>
      <c r="AE7" s="4">
        <v>4.0999999999999996</v>
      </c>
      <c r="AF7" s="4" t="s">
        <v>3041</v>
      </c>
      <c r="AG7" s="5" t="s">
        <v>3024</v>
      </c>
      <c r="AH7" s="5" t="s">
        <v>3042</v>
      </c>
      <c r="AI7" s="4">
        <v>1</v>
      </c>
      <c r="AJ7" s="4" t="s">
        <v>3026</v>
      </c>
      <c r="AK7" s="4" t="s">
        <v>121</v>
      </c>
      <c r="AL7" s="4" t="s">
        <v>3027</v>
      </c>
      <c r="AM7" s="69">
        <v>43504</v>
      </c>
      <c r="AN7" s="4" t="s">
        <v>122</v>
      </c>
      <c r="AO7" s="4" t="s">
        <v>109</v>
      </c>
      <c r="AP7" s="217" t="s">
        <v>109</v>
      </c>
      <c r="AQ7" s="4" t="b">
        <v>0</v>
      </c>
      <c r="AR7" s="4" t="s">
        <v>109</v>
      </c>
      <c r="AS7" s="4" t="s">
        <v>109</v>
      </c>
      <c r="AT7" s="4" t="s">
        <v>118</v>
      </c>
      <c r="AU7" s="4" t="b">
        <v>0</v>
      </c>
      <c r="AV7" s="4" t="s">
        <v>109</v>
      </c>
      <c r="AW7" s="4" t="s">
        <v>109</v>
      </c>
      <c r="AY7" s="4" t="s">
        <v>109</v>
      </c>
      <c r="AZ7" s="4" t="s">
        <v>109</v>
      </c>
      <c r="BA7" s="4" t="s">
        <v>109</v>
      </c>
      <c r="BB7" s="4" t="s">
        <v>109</v>
      </c>
      <c r="BC7" s="4" t="s">
        <v>135</v>
      </c>
      <c r="BD7" s="4" t="s">
        <v>109</v>
      </c>
      <c r="BE7" s="6" t="s">
        <v>109</v>
      </c>
      <c r="BF7" s="4" t="s">
        <v>109</v>
      </c>
      <c r="BG7" s="4" t="s">
        <v>126</v>
      </c>
      <c r="BH7" s="4" t="s">
        <v>109</v>
      </c>
      <c r="BI7" s="69">
        <v>43955</v>
      </c>
      <c r="BJ7" s="69">
        <v>43830</v>
      </c>
      <c r="BK7" s="69">
        <v>45244</v>
      </c>
      <c r="BL7" s="97" t="s">
        <v>109</v>
      </c>
      <c r="BM7" s="97" t="s">
        <v>109</v>
      </c>
      <c r="BN7" s="4" t="b">
        <v>1</v>
      </c>
      <c r="BO7" s="130" t="s">
        <v>109</v>
      </c>
      <c r="BP7" s="4" t="s">
        <v>128</v>
      </c>
      <c r="CF7" s="4" t="s">
        <v>174</v>
      </c>
      <c r="CS7" s="144"/>
      <c r="CU7" s="216" t="s">
        <v>3028</v>
      </c>
      <c r="CW7" s="4" t="s">
        <v>3043</v>
      </c>
      <c r="CX7" s="39"/>
    </row>
    <row r="8" spans="1:115" x14ac:dyDescent="0.3">
      <c r="A8" s="2">
        <v>7</v>
      </c>
      <c r="B8" s="43" t="s">
        <v>175</v>
      </c>
      <c r="C8" s="51">
        <v>32.608249999999998</v>
      </c>
      <c r="D8" s="51" t="s">
        <v>176</v>
      </c>
      <c r="E8" s="2" t="s">
        <v>177</v>
      </c>
      <c r="F8" s="47" t="s">
        <v>178</v>
      </c>
      <c r="G8" s="67" t="s">
        <v>145</v>
      </c>
      <c r="H8" s="2" t="s">
        <v>146</v>
      </c>
      <c r="I8" s="2" t="s">
        <v>146</v>
      </c>
      <c r="J8" s="67" t="s">
        <v>109</v>
      </c>
      <c r="K8" s="2" t="s">
        <v>114</v>
      </c>
      <c r="L8" s="2" t="s">
        <v>115</v>
      </c>
      <c r="M8" s="2" t="s">
        <v>109</v>
      </c>
      <c r="N8" s="2" t="s">
        <v>109</v>
      </c>
      <c r="O8" s="68">
        <v>45593</v>
      </c>
      <c r="Q8" s="77">
        <v>10</v>
      </c>
      <c r="R8" s="2" t="s">
        <v>109</v>
      </c>
      <c r="S8" s="2" t="s">
        <v>109</v>
      </c>
      <c r="T8" s="2" t="s">
        <v>109</v>
      </c>
      <c r="U8" s="2" t="s">
        <v>116</v>
      </c>
      <c r="V8" s="2" t="s">
        <v>3022</v>
      </c>
      <c r="W8" s="2" t="b">
        <v>0</v>
      </c>
      <c r="X8" s="2" t="s">
        <v>109</v>
      </c>
      <c r="Y8" s="2" t="s">
        <v>107</v>
      </c>
      <c r="AA8" s="2" t="s">
        <v>109</v>
      </c>
      <c r="AB8" s="2">
        <v>10.210000000000001</v>
      </c>
      <c r="AC8" s="2">
        <v>230</v>
      </c>
      <c r="AD8" s="2" t="s">
        <v>180</v>
      </c>
      <c r="AE8" s="2">
        <v>4.0999999999999996</v>
      </c>
      <c r="AF8" s="2" t="s">
        <v>3044</v>
      </c>
      <c r="AG8" s="3" t="s">
        <v>3024</v>
      </c>
      <c r="AH8" s="3" t="s">
        <v>3045</v>
      </c>
      <c r="AI8" s="2">
        <v>1</v>
      </c>
      <c r="AJ8" s="2" t="s">
        <v>3026</v>
      </c>
      <c r="AK8" s="2" t="s">
        <v>121</v>
      </c>
      <c r="AL8" s="2" t="s">
        <v>3027</v>
      </c>
      <c r="AM8" s="68">
        <v>43556</v>
      </c>
      <c r="AN8" s="2" t="s">
        <v>122</v>
      </c>
      <c r="AO8" s="2" t="s">
        <v>109</v>
      </c>
      <c r="AP8" s="109" t="s">
        <v>109</v>
      </c>
      <c r="AQ8" s="2" t="b">
        <v>0</v>
      </c>
      <c r="AR8" s="2" t="s">
        <v>109</v>
      </c>
      <c r="AS8" s="2" t="s">
        <v>109</v>
      </c>
      <c r="AT8" s="2" t="s">
        <v>118</v>
      </c>
      <c r="AU8" s="2" t="b">
        <v>0</v>
      </c>
      <c r="AV8" s="2" t="s">
        <v>109</v>
      </c>
      <c r="AW8" s="2" t="s">
        <v>109</v>
      </c>
      <c r="AY8" s="2" t="s">
        <v>109</v>
      </c>
      <c r="AZ8" s="2" t="s">
        <v>109</v>
      </c>
      <c r="BA8" s="2" t="s">
        <v>109</v>
      </c>
      <c r="BB8" s="2" t="s">
        <v>109</v>
      </c>
      <c r="BC8" s="2" t="s">
        <v>135</v>
      </c>
      <c r="BD8" s="68" t="s">
        <v>109</v>
      </c>
      <c r="BE8" s="7" t="s">
        <v>109</v>
      </c>
      <c r="BF8" s="2" t="s">
        <v>109</v>
      </c>
      <c r="BG8" s="2" t="s">
        <v>126</v>
      </c>
      <c r="BH8" s="2" t="s">
        <v>109</v>
      </c>
      <c r="BI8" s="68">
        <v>44033</v>
      </c>
      <c r="BJ8" s="68">
        <v>44196</v>
      </c>
      <c r="BK8" s="68">
        <v>44086</v>
      </c>
      <c r="BL8" s="98" t="s">
        <v>109</v>
      </c>
      <c r="BM8" s="98" t="s">
        <v>109</v>
      </c>
      <c r="BN8" s="2" t="b">
        <v>1</v>
      </c>
      <c r="BO8" s="85" t="s">
        <v>109</v>
      </c>
      <c r="BP8" s="2" t="s">
        <v>128</v>
      </c>
      <c r="CF8" s="2" t="s">
        <v>528</v>
      </c>
      <c r="CS8" s="145"/>
      <c r="CU8" s="132" t="s">
        <v>3028</v>
      </c>
      <c r="CW8" s="2" t="s">
        <v>3046</v>
      </c>
      <c r="CX8" s="38"/>
    </row>
    <row r="9" spans="1:115" ht="26.4" x14ac:dyDescent="0.3">
      <c r="A9" s="4">
        <v>8</v>
      </c>
      <c r="B9" s="44" t="s">
        <v>184</v>
      </c>
      <c r="C9" s="53">
        <v>32.608249999999998</v>
      </c>
      <c r="D9" s="53" t="s">
        <v>176</v>
      </c>
      <c r="E9" s="4" t="s">
        <v>177</v>
      </c>
      <c r="F9" s="46" t="s">
        <v>185</v>
      </c>
      <c r="G9" s="64" t="s">
        <v>186</v>
      </c>
      <c r="H9" s="64" t="s">
        <v>113</v>
      </c>
      <c r="I9" s="64" t="s">
        <v>113</v>
      </c>
      <c r="J9" s="64" t="s">
        <v>109</v>
      </c>
      <c r="K9" s="64" t="s">
        <v>187</v>
      </c>
      <c r="L9" s="64" t="s">
        <v>188</v>
      </c>
      <c r="M9" s="64" t="s">
        <v>109</v>
      </c>
      <c r="N9" s="64" t="s">
        <v>109</v>
      </c>
      <c r="O9" s="69">
        <v>45593</v>
      </c>
      <c r="Q9" s="64" t="s">
        <v>109</v>
      </c>
      <c r="R9" s="64" t="s">
        <v>109</v>
      </c>
      <c r="S9" s="64" t="s">
        <v>109</v>
      </c>
      <c r="T9" s="64" t="s">
        <v>109</v>
      </c>
      <c r="U9" s="4" t="s">
        <v>116</v>
      </c>
      <c r="V9" s="4" t="s">
        <v>3022</v>
      </c>
      <c r="W9" s="4" t="b">
        <v>0</v>
      </c>
      <c r="X9" s="4" t="s">
        <v>109</v>
      </c>
      <c r="Y9" s="4" t="s">
        <v>3047</v>
      </c>
      <c r="AA9" s="4" t="s">
        <v>109</v>
      </c>
      <c r="AB9" s="4">
        <v>9.6</v>
      </c>
      <c r="AC9" s="4">
        <v>69</v>
      </c>
      <c r="AD9" s="4" t="s">
        <v>148</v>
      </c>
      <c r="AE9" s="4">
        <v>4.0999999999999996</v>
      </c>
      <c r="AF9" s="4" t="s">
        <v>3030</v>
      </c>
      <c r="AG9" s="5" t="s">
        <v>3024</v>
      </c>
      <c r="AH9" s="5" t="s">
        <v>3048</v>
      </c>
      <c r="AI9" s="4">
        <v>1</v>
      </c>
      <c r="AJ9" s="4" t="s">
        <v>3026</v>
      </c>
      <c r="AK9" s="4" t="s">
        <v>121</v>
      </c>
      <c r="AL9" s="4" t="s">
        <v>3027</v>
      </c>
      <c r="AM9" s="69">
        <v>43587</v>
      </c>
      <c r="AN9" s="4" t="s">
        <v>122</v>
      </c>
      <c r="AO9" s="4" t="s">
        <v>109</v>
      </c>
      <c r="AP9" s="217" t="s">
        <v>109</v>
      </c>
      <c r="AQ9" s="4" t="b">
        <v>0</v>
      </c>
      <c r="AR9" s="4" t="s">
        <v>109</v>
      </c>
      <c r="AS9" s="4" t="s">
        <v>109</v>
      </c>
      <c r="AT9" s="4" t="s">
        <v>118</v>
      </c>
      <c r="AU9" s="4" t="b">
        <v>0</v>
      </c>
      <c r="AV9" s="4" t="s">
        <v>109</v>
      </c>
      <c r="AW9" s="4" t="s">
        <v>109</v>
      </c>
      <c r="AY9" s="4" t="s">
        <v>109</v>
      </c>
      <c r="AZ9" s="4" t="s">
        <v>109</v>
      </c>
      <c r="BA9" s="4" t="s">
        <v>109</v>
      </c>
      <c r="BB9" s="4" t="s">
        <v>109</v>
      </c>
      <c r="BC9" s="6" t="s">
        <v>135</v>
      </c>
      <c r="BD9" s="69" t="s">
        <v>109</v>
      </c>
      <c r="BE9" s="6" t="s">
        <v>109</v>
      </c>
      <c r="BF9" s="4" t="s">
        <v>109</v>
      </c>
      <c r="BG9" s="4" t="s">
        <v>126</v>
      </c>
      <c r="BH9" s="4" t="s">
        <v>109</v>
      </c>
      <c r="BI9" s="69">
        <v>43592</v>
      </c>
      <c r="BJ9" s="69">
        <v>43830</v>
      </c>
      <c r="BK9" s="69" t="s">
        <v>109</v>
      </c>
      <c r="BL9" s="97" t="s">
        <v>109</v>
      </c>
      <c r="BM9" s="97" t="s">
        <v>109</v>
      </c>
      <c r="BN9" s="97" t="b">
        <v>0</v>
      </c>
      <c r="BO9" s="130" t="s">
        <v>109</v>
      </c>
      <c r="BP9" s="4" t="s">
        <v>128</v>
      </c>
      <c r="CF9" s="4" t="s">
        <v>189</v>
      </c>
      <c r="CS9" s="143" t="s">
        <v>190</v>
      </c>
      <c r="CU9" s="216" t="s">
        <v>3028</v>
      </c>
      <c r="CW9" s="4" t="s">
        <v>3046</v>
      </c>
      <c r="CX9" s="39"/>
    </row>
    <row r="10" spans="1:115" x14ac:dyDescent="0.3">
      <c r="A10" s="2">
        <v>9</v>
      </c>
      <c r="B10" s="109" t="s">
        <v>3049</v>
      </c>
      <c r="C10" s="55"/>
      <c r="D10" s="2"/>
      <c r="E10" s="2"/>
      <c r="F10" s="47"/>
      <c r="G10" s="67"/>
      <c r="H10" s="67"/>
      <c r="I10" s="67"/>
      <c r="J10" s="67"/>
      <c r="K10" s="67"/>
      <c r="L10" s="67"/>
      <c r="M10" s="67"/>
      <c r="N10" s="67"/>
      <c r="O10" s="67"/>
      <c r="Q10" s="67"/>
      <c r="R10" s="67"/>
      <c r="S10" s="67"/>
      <c r="T10" s="67"/>
      <c r="U10" s="86"/>
      <c r="V10" s="2"/>
      <c r="W10" s="2"/>
      <c r="X10" s="2"/>
      <c r="Y10" s="2" t="s">
        <v>3050</v>
      </c>
      <c r="AA10" s="2"/>
      <c r="AB10" s="2"/>
      <c r="AC10" s="2"/>
      <c r="AD10" s="90"/>
      <c r="AE10" s="2"/>
      <c r="AF10" s="2" t="s">
        <v>3051</v>
      </c>
      <c r="AG10" s="3" t="s">
        <v>3024</v>
      </c>
      <c r="AH10" s="3" t="s">
        <v>3052</v>
      </c>
      <c r="AI10" s="2"/>
      <c r="AJ10" s="2" t="s">
        <v>3026</v>
      </c>
      <c r="AK10" s="2"/>
      <c r="AL10" s="2" t="s">
        <v>3053</v>
      </c>
      <c r="AM10" s="68"/>
      <c r="AN10" s="90"/>
      <c r="AO10" s="2"/>
      <c r="AP10" s="109"/>
      <c r="AQ10" s="2"/>
      <c r="AR10" s="2"/>
      <c r="AS10" s="2"/>
      <c r="AT10" s="2"/>
      <c r="AU10" s="90"/>
      <c r="AV10" s="2"/>
      <c r="AW10" s="2"/>
      <c r="AY10" s="2"/>
      <c r="AZ10" s="2"/>
      <c r="BA10" s="2"/>
      <c r="BB10" s="2"/>
      <c r="BC10" s="2"/>
      <c r="BD10" s="2"/>
      <c r="BE10" s="2"/>
      <c r="BF10" s="2"/>
      <c r="BG10" s="2"/>
      <c r="BH10" s="2"/>
      <c r="BI10" s="68"/>
      <c r="BJ10" s="68"/>
      <c r="BK10" s="68"/>
      <c r="BL10" s="98"/>
      <c r="BM10" s="2"/>
      <c r="BN10" s="2"/>
      <c r="BO10" s="90"/>
      <c r="BP10" s="2"/>
      <c r="CF10" s="2"/>
      <c r="CS10" s="146"/>
      <c r="CU10" s="132" t="s">
        <v>3028</v>
      </c>
      <c r="CW10" s="2" t="s">
        <v>3054</v>
      </c>
      <c r="CX10" s="38"/>
    </row>
    <row r="11" spans="1:115" x14ac:dyDescent="0.3">
      <c r="A11" s="4">
        <v>10</v>
      </c>
      <c r="B11" s="217" t="s">
        <v>3055</v>
      </c>
      <c r="C11" s="56"/>
      <c r="D11" s="4"/>
      <c r="E11" s="4"/>
      <c r="F11" s="46"/>
      <c r="G11" s="64"/>
      <c r="H11" s="64"/>
      <c r="I11" s="64"/>
      <c r="J11" s="64"/>
      <c r="K11" s="64"/>
      <c r="L11" s="64"/>
      <c r="M11" s="64"/>
      <c r="N11" s="64"/>
      <c r="O11" s="64"/>
      <c r="Q11" s="64"/>
      <c r="R11" s="64"/>
      <c r="S11" s="64"/>
      <c r="T11" s="64"/>
      <c r="U11" s="87"/>
      <c r="V11" s="4"/>
      <c r="W11" s="4"/>
      <c r="X11" s="4"/>
      <c r="Y11" s="4" t="s">
        <v>3050</v>
      </c>
      <c r="AA11" s="4"/>
      <c r="AB11" s="4"/>
      <c r="AC11" s="4"/>
      <c r="AD11" s="91"/>
      <c r="AE11" s="4"/>
      <c r="AF11" s="4" t="s">
        <v>3051</v>
      </c>
      <c r="AG11" s="5" t="s">
        <v>3024</v>
      </c>
      <c r="AH11" s="5" t="s">
        <v>3056</v>
      </c>
      <c r="AI11" s="4"/>
      <c r="AJ11" s="4" t="s">
        <v>3026</v>
      </c>
      <c r="AK11" s="4"/>
      <c r="AL11" s="4" t="s">
        <v>3053</v>
      </c>
      <c r="AM11" s="69"/>
      <c r="AN11" s="91"/>
      <c r="AO11" s="4"/>
      <c r="AP11" s="217"/>
      <c r="AQ11" s="4"/>
      <c r="AR11" s="4"/>
      <c r="AS11" s="4"/>
      <c r="AT11" s="4"/>
      <c r="AU11" s="91"/>
      <c r="AV11" s="4"/>
      <c r="AW11" s="4"/>
      <c r="AY11" s="4"/>
      <c r="AZ11" s="4"/>
      <c r="BA11" s="4"/>
      <c r="BB11" s="4"/>
      <c r="BC11" s="4"/>
      <c r="BD11" s="4"/>
      <c r="BE11" s="4"/>
      <c r="BF11" s="4"/>
      <c r="BG11" s="4"/>
      <c r="BH11" s="4"/>
      <c r="BI11" s="69"/>
      <c r="BJ11" s="69"/>
      <c r="BK11" s="69"/>
      <c r="BL11" s="97"/>
      <c r="BM11" s="4"/>
      <c r="BN11" s="4"/>
      <c r="BO11" s="91"/>
      <c r="BP11" s="4"/>
      <c r="CF11" s="4"/>
      <c r="CS11" s="147"/>
      <c r="CU11" s="216" t="s">
        <v>3028</v>
      </c>
      <c r="CW11" s="4" t="s">
        <v>3054</v>
      </c>
      <c r="CX11" s="40"/>
    </row>
    <row r="12" spans="1:115" ht="52.8" x14ac:dyDescent="0.3">
      <c r="A12" s="2">
        <v>11</v>
      </c>
      <c r="B12" s="43" t="s">
        <v>204</v>
      </c>
      <c r="C12" s="2" t="s">
        <v>109</v>
      </c>
      <c r="D12" s="7" t="s">
        <v>109</v>
      </c>
      <c r="E12" s="7" t="s">
        <v>109</v>
      </c>
      <c r="F12" s="47" t="s">
        <v>205</v>
      </c>
      <c r="G12" s="2" t="s">
        <v>206</v>
      </c>
      <c r="H12" s="2" t="s">
        <v>109</v>
      </c>
      <c r="I12" s="2" t="s">
        <v>109</v>
      </c>
      <c r="J12" s="2" t="s">
        <v>109</v>
      </c>
      <c r="K12" s="2" t="s">
        <v>2918</v>
      </c>
      <c r="L12" s="2" t="s">
        <v>207</v>
      </c>
      <c r="M12" s="2" t="s">
        <v>109</v>
      </c>
      <c r="N12" s="2" t="s">
        <v>109</v>
      </c>
      <c r="O12" s="2" t="s">
        <v>109</v>
      </c>
      <c r="Q12" s="2" t="s">
        <v>109</v>
      </c>
      <c r="R12" s="2" t="s">
        <v>109</v>
      </c>
      <c r="S12" s="2" t="s">
        <v>109</v>
      </c>
      <c r="T12" s="2" t="s">
        <v>109</v>
      </c>
      <c r="U12" s="2" t="s">
        <v>116</v>
      </c>
      <c r="V12" s="2" t="s">
        <v>3022</v>
      </c>
      <c r="W12" s="2" t="b">
        <v>0</v>
      </c>
      <c r="X12" s="2" t="s">
        <v>109</v>
      </c>
      <c r="Y12" s="2" t="s">
        <v>203</v>
      </c>
      <c r="AA12" s="2" t="s">
        <v>118</v>
      </c>
      <c r="AB12" s="2" t="s">
        <v>118</v>
      </c>
      <c r="AC12" s="2" t="s">
        <v>119</v>
      </c>
      <c r="AD12" s="2" t="s">
        <v>109</v>
      </c>
      <c r="AE12" s="2" t="s">
        <v>109</v>
      </c>
      <c r="AF12" s="2" t="s">
        <v>3023</v>
      </c>
      <c r="AG12" s="3" t="s">
        <v>3057</v>
      </c>
      <c r="AH12" s="3" t="s">
        <v>3025</v>
      </c>
      <c r="AI12" s="2">
        <v>7</v>
      </c>
      <c r="AJ12" s="2" t="s">
        <v>3058</v>
      </c>
      <c r="AK12" s="2" t="s">
        <v>121</v>
      </c>
      <c r="AL12" s="2" t="s">
        <v>3027</v>
      </c>
      <c r="AM12" s="68">
        <v>45258</v>
      </c>
      <c r="AN12" s="2" t="s">
        <v>122</v>
      </c>
      <c r="AO12" s="2" t="s">
        <v>109</v>
      </c>
      <c r="AP12" s="109" t="s">
        <v>109</v>
      </c>
      <c r="AQ12" s="2" t="b">
        <v>0</v>
      </c>
      <c r="AR12" s="2" t="s">
        <v>109</v>
      </c>
      <c r="AS12" s="2" t="s">
        <v>109</v>
      </c>
      <c r="AT12" s="2" t="s">
        <v>118</v>
      </c>
      <c r="AU12" s="2" t="b">
        <v>0</v>
      </c>
      <c r="AV12" s="2" t="s">
        <v>109</v>
      </c>
      <c r="AW12" s="2" t="s">
        <v>118</v>
      </c>
      <c r="AY12" s="2" t="s">
        <v>109</v>
      </c>
      <c r="AZ12" s="2" t="s">
        <v>109</v>
      </c>
      <c r="BA12" s="2" t="s">
        <v>118</v>
      </c>
      <c r="BB12" s="2" t="s">
        <v>118</v>
      </c>
      <c r="BC12" s="2" t="s">
        <v>109</v>
      </c>
      <c r="BD12" s="68" t="s">
        <v>109</v>
      </c>
      <c r="BE12" s="7" t="s">
        <v>109</v>
      </c>
      <c r="BF12" s="2" t="s">
        <v>109</v>
      </c>
      <c r="BG12" s="2" t="s">
        <v>296</v>
      </c>
      <c r="BH12" s="2" t="s">
        <v>109</v>
      </c>
      <c r="BI12" s="68" t="s">
        <v>109</v>
      </c>
      <c r="BJ12" s="68">
        <v>45657</v>
      </c>
      <c r="BK12" s="68" t="s">
        <v>109</v>
      </c>
      <c r="BL12" s="98" t="s">
        <v>109</v>
      </c>
      <c r="BM12" s="2" t="s">
        <v>109</v>
      </c>
      <c r="BN12" s="2" t="b">
        <v>1</v>
      </c>
      <c r="BO12" s="85" t="s">
        <v>109</v>
      </c>
      <c r="BP12" s="2" t="s">
        <v>128</v>
      </c>
      <c r="CF12" s="2" t="s">
        <v>210</v>
      </c>
      <c r="CS12" s="142" t="s">
        <v>3059</v>
      </c>
      <c r="CU12" s="132" t="s">
        <v>3060</v>
      </c>
      <c r="CW12" s="2" t="s">
        <v>3029</v>
      </c>
      <c r="CX12" s="38"/>
    </row>
    <row r="13" spans="1:115" ht="52.8" x14ac:dyDescent="0.3">
      <c r="A13" s="4">
        <v>12</v>
      </c>
      <c r="B13" s="44" t="s">
        <v>212</v>
      </c>
      <c r="C13" s="4" t="s">
        <v>109</v>
      </c>
      <c r="D13" s="4" t="s">
        <v>109</v>
      </c>
      <c r="E13" s="4" t="s">
        <v>109</v>
      </c>
      <c r="F13" s="46" t="s">
        <v>213</v>
      </c>
      <c r="G13" s="219" t="s">
        <v>206</v>
      </c>
      <c r="H13" s="64" t="s">
        <v>109</v>
      </c>
      <c r="I13" s="64" t="s">
        <v>109</v>
      </c>
      <c r="J13" s="64" t="s">
        <v>109</v>
      </c>
      <c r="K13" s="64" t="s">
        <v>2918</v>
      </c>
      <c r="L13" s="70" t="s">
        <v>214</v>
      </c>
      <c r="M13" s="64" t="s">
        <v>109</v>
      </c>
      <c r="N13" s="64" t="s">
        <v>109</v>
      </c>
      <c r="O13" s="66" t="s">
        <v>109</v>
      </c>
      <c r="Q13" s="6" t="s">
        <v>109</v>
      </c>
      <c r="R13" s="64" t="s">
        <v>109</v>
      </c>
      <c r="S13" s="64" t="s">
        <v>109</v>
      </c>
      <c r="T13" s="64" t="s">
        <v>109</v>
      </c>
      <c r="U13" s="4" t="s">
        <v>116</v>
      </c>
      <c r="V13" s="4" t="s">
        <v>3022</v>
      </c>
      <c r="W13" s="4" t="b">
        <v>0</v>
      </c>
      <c r="X13" s="4" t="s">
        <v>109</v>
      </c>
      <c r="Y13" s="4" t="s">
        <v>203</v>
      </c>
      <c r="AA13" s="4" t="s">
        <v>109</v>
      </c>
      <c r="AB13" s="4" t="s">
        <v>109</v>
      </c>
      <c r="AC13" s="4" t="s">
        <v>109</v>
      </c>
      <c r="AD13" s="4" t="s">
        <v>109</v>
      </c>
      <c r="AE13" s="4" t="s">
        <v>109</v>
      </c>
      <c r="AF13" s="4" t="s">
        <v>3030</v>
      </c>
      <c r="AG13" s="5" t="s">
        <v>3057</v>
      </c>
      <c r="AH13" s="5" t="s">
        <v>3061</v>
      </c>
      <c r="AI13" s="4">
        <v>1</v>
      </c>
      <c r="AJ13" s="4" t="s">
        <v>3058</v>
      </c>
      <c r="AK13" s="4" t="s">
        <v>121</v>
      </c>
      <c r="AL13" s="4" t="s">
        <v>3027</v>
      </c>
      <c r="AM13" s="69">
        <v>44739</v>
      </c>
      <c r="AN13" s="4" t="s">
        <v>122</v>
      </c>
      <c r="AO13" s="4" t="s">
        <v>109</v>
      </c>
      <c r="AP13" s="217" t="s">
        <v>109</v>
      </c>
      <c r="AQ13" s="4" t="b">
        <v>0</v>
      </c>
      <c r="AR13" s="4" t="s">
        <v>109</v>
      </c>
      <c r="AS13" s="4" t="s">
        <v>109</v>
      </c>
      <c r="AT13" s="4" t="s">
        <v>109</v>
      </c>
      <c r="AU13" s="4" t="b">
        <v>0</v>
      </c>
      <c r="AV13" s="4" t="s">
        <v>109</v>
      </c>
      <c r="AW13" s="4" t="s">
        <v>109</v>
      </c>
      <c r="AY13" s="4" t="s">
        <v>109</v>
      </c>
      <c r="AZ13" s="4" t="s">
        <v>109</v>
      </c>
      <c r="BA13" s="4" t="s">
        <v>109</v>
      </c>
      <c r="BB13" s="4" t="s">
        <v>217</v>
      </c>
      <c r="BC13" s="6" t="s">
        <v>135</v>
      </c>
      <c r="BD13" s="75" t="s">
        <v>109</v>
      </c>
      <c r="BE13" s="4" t="s">
        <v>109</v>
      </c>
      <c r="BF13" s="4" t="s">
        <v>118</v>
      </c>
      <c r="BG13" s="4" t="s">
        <v>699</v>
      </c>
      <c r="BH13" s="4" t="s">
        <v>109</v>
      </c>
      <c r="BI13" s="69" t="s">
        <v>109</v>
      </c>
      <c r="BJ13" s="75">
        <v>45291</v>
      </c>
      <c r="BK13" s="5" t="s">
        <v>109</v>
      </c>
      <c r="BL13" s="97" t="s">
        <v>109</v>
      </c>
      <c r="BM13" s="97" t="s">
        <v>109</v>
      </c>
      <c r="BN13" s="97" t="b">
        <v>0</v>
      </c>
      <c r="BO13" s="130" t="s">
        <v>109</v>
      </c>
      <c r="BP13" s="4" t="s">
        <v>128</v>
      </c>
      <c r="CF13" s="4" t="s">
        <v>109</v>
      </c>
      <c r="CS13" s="143" t="s">
        <v>219</v>
      </c>
      <c r="CU13" s="216" t="s">
        <v>3060</v>
      </c>
      <c r="CW13" s="4" t="s">
        <v>3062</v>
      </c>
      <c r="CX13" s="40"/>
    </row>
    <row r="14" spans="1:115" ht="105.6" x14ac:dyDescent="0.3">
      <c r="A14" s="2">
        <v>13</v>
      </c>
      <c r="B14" s="43" t="s">
        <v>221</v>
      </c>
      <c r="C14" s="2" t="s">
        <v>109</v>
      </c>
      <c r="D14" s="2" t="s">
        <v>109</v>
      </c>
      <c r="E14" s="2" t="s">
        <v>109</v>
      </c>
      <c r="F14" s="71" t="s">
        <v>222</v>
      </c>
      <c r="G14" s="67" t="s">
        <v>111</v>
      </c>
      <c r="H14" s="67" t="s">
        <v>112</v>
      </c>
      <c r="I14" s="67" t="s">
        <v>146</v>
      </c>
      <c r="J14" s="67" t="s">
        <v>109</v>
      </c>
      <c r="K14" s="67" t="s">
        <v>114</v>
      </c>
      <c r="L14" s="67" t="s">
        <v>115</v>
      </c>
      <c r="M14" s="67" t="s">
        <v>246</v>
      </c>
      <c r="N14" s="67" t="s">
        <v>109</v>
      </c>
      <c r="O14" s="68" t="s">
        <v>109</v>
      </c>
      <c r="Q14" s="67" t="s">
        <v>109</v>
      </c>
      <c r="R14" s="67" t="s">
        <v>109</v>
      </c>
      <c r="S14" s="67" t="s">
        <v>109</v>
      </c>
      <c r="T14" s="67" t="s">
        <v>109</v>
      </c>
      <c r="U14" s="2" t="s">
        <v>116</v>
      </c>
      <c r="V14" s="2" t="s">
        <v>3022</v>
      </c>
      <c r="W14" s="2" t="b">
        <v>0</v>
      </c>
      <c r="X14" s="2" t="s">
        <v>224</v>
      </c>
      <c r="Y14" s="2" t="s">
        <v>220</v>
      </c>
      <c r="AA14" s="2" t="s">
        <v>118</v>
      </c>
      <c r="AB14" s="2" t="s">
        <v>118</v>
      </c>
      <c r="AC14" s="2" t="s">
        <v>109</v>
      </c>
      <c r="AD14" s="7" t="s">
        <v>109</v>
      </c>
      <c r="AE14" s="7">
        <v>1.3</v>
      </c>
      <c r="AF14" s="2" t="s">
        <v>3030</v>
      </c>
      <c r="AG14" s="3" t="s">
        <v>3063</v>
      </c>
      <c r="AH14" s="3" t="s">
        <v>3064</v>
      </c>
      <c r="AI14" s="2">
        <v>1</v>
      </c>
      <c r="AJ14" s="2" t="s">
        <v>3065</v>
      </c>
      <c r="AK14" s="2" t="s">
        <v>121</v>
      </c>
      <c r="AL14" s="7" t="s">
        <v>3027</v>
      </c>
      <c r="AM14" s="68">
        <v>43497</v>
      </c>
      <c r="AN14" s="2" t="s">
        <v>122</v>
      </c>
      <c r="AO14" s="7">
        <v>2019</v>
      </c>
      <c r="AP14" s="109" t="s">
        <v>109</v>
      </c>
      <c r="AQ14" s="7" t="b">
        <v>0</v>
      </c>
      <c r="AR14" s="7" t="s">
        <v>109</v>
      </c>
      <c r="AS14" s="7" t="s">
        <v>109</v>
      </c>
      <c r="AT14" s="7" t="s">
        <v>109</v>
      </c>
      <c r="AU14" s="2" t="b">
        <v>0</v>
      </c>
      <c r="AV14" s="2" t="s">
        <v>123</v>
      </c>
      <c r="AW14" s="2" t="s">
        <v>118</v>
      </c>
      <c r="AY14" s="2" t="s">
        <v>109</v>
      </c>
      <c r="AZ14" s="2" t="s">
        <v>109</v>
      </c>
      <c r="BA14" s="2" t="s">
        <v>226</v>
      </c>
      <c r="BB14" s="2" t="s">
        <v>118</v>
      </c>
      <c r="BC14" s="2" t="s">
        <v>109</v>
      </c>
      <c r="BD14" s="68" t="s">
        <v>109</v>
      </c>
      <c r="BE14" s="68" t="s">
        <v>109</v>
      </c>
      <c r="BF14" s="68" t="s">
        <v>109</v>
      </c>
      <c r="BG14" s="2" t="s">
        <v>126</v>
      </c>
      <c r="BH14" s="2" t="s">
        <v>109</v>
      </c>
      <c r="BI14" s="68" t="s">
        <v>109</v>
      </c>
      <c r="BJ14" s="68">
        <v>43830</v>
      </c>
      <c r="BK14" s="68" t="s">
        <v>109</v>
      </c>
      <c r="BL14" s="98" t="s">
        <v>109</v>
      </c>
      <c r="BM14" s="98" t="s">
        <v>109</v>
      </c>
      <c r="BN14" s="2" t="b">
        <v>1</v>
      </c>
      <c r="BO14" s="85" t="s">
        <v>109</v>
      </c>
      <c r="BP14" s="2" t="s">
        <v>128</v>
      </c>
      <c r="CF14" s="2" t="s">
        <v>528</v>
      </c>
      <c r="CS14" s="142" t="s">
        <v>229</v>
      </c>
      <c r="CU14" s="132" t="s">
        <v>3028</v>
      </c>
      <c r="CW14" s="2" t="s">
        <v>3029</v>
      </c>
      <c r="CX14" s="220" t="s">
        <v>3066</v>
      </c>
    </row>
    <row r="15" spans="1:115" ht="26.4" x14ac:dyDescent="0.3">
      <c r="A15" s="4">
        <v>14</v>
      </c>
      <c r="B15" s="44" t="s">
        <v>231</v>
      </c>
      <c r="C15" s="4" t="s">
        <v>109</v>
      </c>
      <c r="D15" s="6" t="s">
        <v>109</v>
      </c>
      <c r="E15" s="6" t="s">
        <v>109</v>
      </c>
      <c r="F15" s="46" t="s">
        <v>232</v>
      </c>
      <c r="G15" s="4" t="s">
        <v>233</v>
      </c>
      <c r="H15" s="4" t="s">
        <v>112</v>
      </c>
      <c r="I15" s="4" t="s">
        <v>109</v>
      </c>
      <c r="J15" s="4" t="s">
        <v>109</v>
      </c>
      <c r="K15" s="4" t="s">
        <v>234</v>
      </c>
      <c r="L15" s="4" t="s">
        <v>235</v>
      </c>
      <c r="M15" s="4" t="s">
        <v>109</v>
      </c>
      <c r="N15" s="4" t="s">
        <v>109</v>
      </c>
      <c r="O15" s="4" t="s">
        <v>109</v>
      </c>
      <c r="Q15" s="4" t="s">
        <v>109</v>
      </c>
      <c r="R15" s="4" t="s">
        <v>109</v>
      </c>
      <c r="S15" s="4" t="s">
        <v>109</v>
      </c>
      <c r="T15" s="4" t="s">
        <v>109</v>
      </c>
      <c r="U15" s="4" t="s">
        <v>116</v>
      </c>
      <c r="V15" s="4" t="s">
        <v>117</v>
      </c>
      <c r="W15" s="4" t="b">
        <v>0</v>
      </c>
      <c r="X15" s="4" t="s">
        <v>109</v>
      </c>
      <c r="Y15" s="4" t="s">
        <v>230</v>
      </c>
      <c r="AA15" s="4" t="s">
        <v>118</v>
      </c>
      <c r="AB15" s="4" t="s">
        <v>118</v>
      </c>
      <c r="AC15" s="4" t="s">
        <v>119</v>
      </c>
      <c r="AD15" s="4" t="s">
        <v>109</v>
      </c>
      <c r="AE15" s="4">
        <v>1</v>
      </c>
      <c r="AF15" s="4" t="s">
        <v>3023</v>
      </c>
      <c r="AG15" s="5" t="s">
        <v>3067</v>
      </c>
      <c r="AH15" s="5" t="s">
        <v>3025</v>
      </c>
      <c r="AI15" s="4">
        <v>12</v>
      </c>
      <c r="AJ15" s="4" t="s">
        <v>3068</v>
      </c>
      <c r="AK15" s="4" t="s">
        <v>121</v>
      </c>
      <c r="AL15" s="4" t="s">
        <v>3027</v>
      </c>
      <c r="AM15" s="69">
        <v>45246</v>
      </c>
      <c r="AN15" s="4" t="s">
        <v>122</v>
      </c>
      <c r="AO15" s="4" t="s">
        <v>109</v>
      </c>
      <c r="AP15" s="217" t="s">
        <v>109</v>
      </c>
      <c r="AQ15" s="4" t="b">
        <v>0</v>
      </c>
      <c r="AR15" s="4" t="s">
        <v>109</v>
      </c>
      <c r="AS15" s="4" t="s">
        <v>109</v>
      </c>
      <c r="AT15" s="4" t="s">
        <v>118</v>
      </c>
      <c r="AU15" s="4" t="b">
        <v>0</v>
      </c>
      <c r="AV15" s="4" t="s">
        <v>109</v>
      </c>
      <c r="AW15" s="4" t="s">
        <v>118</v>
      </c>
      <c r="AY15" s="4" t="s">
        <v>109</v>
      </c>
      <c r="AZ15" s="4" t="s">
        <v>109</v>
      </c>
      <c r="BA15" s="4" t="s">
        <v>118</v>
      </c>
      <c r="BB15" s="4" t="s">
        <v>118</v>
      </c>
      <c r="BC15" s="4" t="s">
        <v>109</v>
      </c>
      <c r="BD15" s="4" t="s">
        <v>118</v>
      </c>
      <c r="BE15" s="6" t="s">
        <v>109</v>
      </c>
      <c r="BF15" s="4" t="s">
        <v>118</v>
      </c>
      <c r="BG15" s="4" t="s">
        <v>126</v>
      </c>
      <c r="BH15" s="4" t="s">
        <v>109</v>
      </c>
      <c r="BI15" s="69" t="s">
        <v>109</v>
      </c>
      <c r="BJ15" s="69">
        <v>45657</v>
      </c>
      <c r="BK15" s="69" t="s">
        <v>109</v>
      </c>
      <c r="BL15" s="4" t="s">
        <v>109</v>
      </c>
      <c r="BM15" s="4" t="s">
        <v>109</v>
      </c>
      <c r="BN15" s="4" t="b">
        <v>1</v>
      </c>
      <c r="BO15" s="130" t="s">
        <v>109</v>
      </c>
      <c r="BP15" s="4" t="s">
        <v>128</v>
      </c>
      <c r="CF15" s="4" t="s">
        <v>210</v>
      </c>
      <c r="CS15" s="143" t="s">
        <v>237</v>
      </c>
      <c r="CU15" s="216" t="s">
        <v>3060</v>
      </c>
      <c r="CW15" s="4" t="s">
        <v>3029</v>
      </c>
      <c r="CX15" s="39"/>
    </row>
    <row r="16" spans="1:115" ht="158.4" x14ac:dyDescent="0.3">
      <c r="A16" s="2">
        <v>15</v>
      </c>
      <c r="B16" s="43" t="s">
        <v>238</v>
      </c>
      <c r="C16" s="2" t="s">
        <v>109</v>
      </c>
      <c r="D16" s="2" t="s">
        <v>109</v>
      </c>
      <c r="E16" s="2" t="s">
        <v>109</v>
      </c>
      <c r="F16" s="47" t="s">
        <v>239</v>
      </c>
      <c r="G16" s="67" t="s">
        <v>233</v>
      </c>
      <c r="H16" s="67" t="s">
        <v>113</v>
      </c>
      <c r="I16" s="67" t="s">
        <v>240</v>
      </c>
      <c r="J16" s="67" t="s">
        <v>109</v>
      </c>
      <c r="K16" s="67" t="s">
        <v>234</v>
      </c>
      <c r="L16" s="67" t="s">
        <v>2944</v>
      </c>
      <c r="M16" s="67" t="s">
        <v>109</v>
      </c>
      <c r="N16" s="67" t="s">
        <v>109</v>
      </c>
      <c r="O16" s="2" t="s">
        <v>109</v>
      </c>
      <c r="Q16" s="7" t="s">
        <v>109</v>
      </c>
      <c r="R16" s="67" t="s">
        <v>109</v>
      </c>
      <c r="S16" s="67" t="s">
        <v>109</v>
      </c>
      <c r="T16" s="67" t="s">
        <v>109</v>
      </c>
      <c r="U16" s="2" t="s">
        <v>116</v>
      </c>
      <c r="V16" s="2" t="s">
        <v>117</v>
      </c>
      <c r="W16" s="2" t="b">
        <v>0</v>
      </c>
      <c r="X16" s="2" t="s">
        <v>224</v>
      </c>
      <c r="Y16" s="2" t="s">
        <v>230</v>
      </c>
      <c r="AA16" s="2" t="s">
        <v>109</v>
      </c>
      <c r="AB16" s="2" t="s">
        <v>109</v>
      </c>
      <c r="AC16" s="2" t="s">
        <v>109</v>
      </c>
      <c r="AD16" s="2" t="s">
        <v>109</v>
      </c>
      <c r="AE16" s="2">
        <v>1</v>
      </c>
      <c r="AF16" s="2" t="s">
        <v>3030</v>
      </c>
      <c r="AG16" s="3" t="s">
        <v>3067</v>
      </c>
      <c r="AH16" s="3" t="s">
        <v>3069</v>
      </c>
      <c r="AI16" s="2">
        <v>1</v>
      </c>
      <c r="AJ16" s="2" t="s">
        <v>3068</v>
      </c>
      <c r="AK16" s="2" t="s">
        <v>121</v>
      </c>
      <c r="AL16" s="2" t="s">
        <v>3027</v>
      </c>
      <c r="AM16" s="68">
        <v>45246</v>
      </c>
      <c r="AN16" s="2" t="s">
        <v>122</v>
      </c>
      <c r="AO16" s="2" t="s">
        <v>109</v>
      </c>
      <c r="AP16" s="109" t="s">
        <v>109</v>
      </c>
      <c r="AQ16" s="2" t="b">
        <v>0</v>
      </c>
      <c r="AR16" s="2" t="s">
        <v>109</v>
      </c>
      <c r="AS16" s="2" t="s">
        <v>109</v>
      </c>
      <c r="AT16" s="2" t="s">
        <v>109</v>
      </c>
      <c r="AU16" s="2" t="b">
        <v>0</v>
      </c>
      <c r="AV16" s="2" t="s">
        <v>109</v>
      </c>
      <c r="AW16" s="2" t="s">
        <v>109</v>
      </c>
      <c r="AY16" s="2" t="s">
        <v>109</v>
      </c>
      <c r="AZ16" s="2" t="s">
        <v>109</v>
      </c>
      <c r="BA16" s="2" t="s">
        <v>109</v>
      </c>
      <c r="BB16" s="2" t="s">
        <v>109</v>
      </c>
      <c r="BC16" s="7" t="s">
        <v>109</v>
      </c>
      <c r="BD16" s="76" t="s">
        <v>109</v>
      </c>
      <c r="BE16" s="2" t="s">
        <v>109</v>
      </c>
      <c r="BF16" s="2" t="s">
        <v>109</v>
      </c>
      <c r="BG16" s="2" t="s">
        <v>126</v>
      </c>
      <c r="BH16" s="2" t="s">
        <v>109</v>
      </c>
      <c r="BI16" s="68" t="s">
        <v>109</v>
      </c>
      <c r="BJ16" s="68">
        <v>45657</v>
      </c>
      <c r="BK16" s="68" t="s">
        <v>109</v>
      </c>
      <c r="BL16" s="98" t="s">
        <v>109</v>
      </c>
      <c r="BM16" s="98" t="s">
        <v>109</v>
      </c>
      <c r="BN16" s="2" t="b">
        <v>1</v>
      </c>
      <c r="BO16" s="85" t="s">
        <v>109</v>
      </c>
      <c r="BP16" s="2" t="s">
        <v>128</v>
      </c>
      <c r="CF16" s="2" t="s">
        <v>528</v>
      </c>
      <c r="CS16" s="142" t="s">
        <v>241</v>
      </c>
      <c r="CU16" s="132" t="s">
        <v>3060</v>
      </c>
      <c r="CW16" s="2" t="s">
        <v>3029</v>
      </c>
      <c r="CX16" s="220" t="s">
        <v>3066</v>
      </c>
    </row>
    <row r="17" spans="1:102" ht="66" x14ac:dyDescent="0.3">
      <c r="A17" s="4">
        <v>16</v>
      </c>
      <c r="B17" s="46" t="s">
        <v>243</v>
      </c>
      <c r="C17" s="4" t="s">
        <v>119</v>
      </c>
      <c r="D17" s="4" t="s">
        <v>119</v>
      </c>
      <c r="E17" s="4" t="s">
        <v>119</v>
      </c>
      <c r="F17" s="46" t="s">
        <v>244</v>
      </c>
      <c r="G17" s="4" t="s">
        <v>245</v>
      </c>
      <c r="H17" s="4" t="s">
        <v>112</v>
      </c>
      <c r="I17" s="4" t="s">
        <v>240</v>
      </c>
      <c r="J17" s="4" t="s">
        <v>109</v>
      </c>
      <c r="K17" s="4" t="s">
        <v>2918</v>
      </c>
      <c r="L17" s="4" t="s">
        <v>207</v>
      </c>
      <c r="M17" s="4" t="s">
        <v>109</v>
      </c>
      <c r="N17" s="4" t="s">
        <v>109</v>
      </c>
      <c r="O17" s="69" t="s">
        <v>109</v>
      </c>
      <c r="Q17" s="4" t="s">
        <v>109</v>
      </c>
      <c r="R17" s="64" t="s">
        <v>109</v>
      </c>
      <c r="S17" s="4" t="s">
        <v>109</v>
      </c>
      <c r="T17" s="64" t="s">
        <v>109</v>
      </c>
      <c r="U17" s="4" t="s">
        <v>116</v>
      </c>
      <c r="V17" s="4" t="s">
        <v>117</v>
      </c>
      <c r="W17" s="4" t="b">
        <v>0</v>
      </c>
      <c r="X17" s="4" t="s">
        <v>109</v>
      </c>
      <c r="Y17" s="4" t="s">
        <v>242</v>
      </c>
      <c r="AA17" s="4" t="s">
        <v>109</v>
      </c>
      <c r="AB17" s="4" t="s">
        <v>109</v>
      </c>
      <c r="AC17" s="4" t="s">
        <v>109</v>
      </c>
      <c r="AD17" s="4" t="s">
        <v>109</v>
      </c>
      <c r="AE17" s="4" t="s">
        <v>109</v>
      </c>
      <c r="AF17" s="4" t="s">
        <v>3023</v>
      </c>
      <c r="AG17" s="5" t="s">
        <v>3070</v>
      </c>
      <c r="AH17" s="5" t="s">
        <v>3071</v>
      </c>
      <c r="AI17" s="4">
        <v>50</v>
      </c>
      <c r="AJ17" s="4" t="s">
        <v>3072</v>
      </c>
      <c r="AK17" s="4" t="s">
        <v>121</v>
      </c>
      <c r="AL17" s="4" t="s">
        <v>3027</v>
      </c>
      <c r="AM17" s="69">
        <v>45240</v>
      </c>
      <c r="AN17" s="4" t="s">
        <v>122</v>
      </c>
      <c r="AO17" s="4" t="s">
        <v>109</v>
      </c>
      <c r="AP17" s="217" t="s">
        <v>109</v>
      </c>
      <c r="AQ17" s="4" t="b">
        <v>0</v>
      </c>
      <c r="AR17" s="4" t="s">
        <v>109</v>
      </c>
      <c r="AS17" s="4" t="s">
        <v>109</v>
      </c>
      <c r="AT17" s="4" t="s">
        <v>109</v>
      </c>
      <c r="AU17" s="4" t="b">
        <v>0</v>
      </c>
      <c r="AV17" s="4" t="s">
        <v>109</v>
      </c>
      <c r="AW17" s="4" t="s">
        <v>109</v>
      </c>
      <c r="AY17" s="4" t="s">
        <v>109</v>
      </c>
      <c r="AZ17" s="4" t="s">
        <v>109</v>
      </c>
      <c r="BA17" s="4" t="s">
        <v>109</v>
      </c>
      <c r="BB17" s="4" t="s">
        <v>109</v>
      </c>
      <c r="BC17" s="4" t="s">
        <v>109</v>
      </c>
      <c r="BD17" s="4" t="s">
        <v>109</v>
      </c>
      <c r="BE17" s="4" t="s">
        <v>109</v>
      </c>
      <c r="BF17" s="4" t="s">
        <v>109</v>
      </c>
      <c r="BG17" s="4" t="s">
        <v>126</v>
      </c>
      <c r="BH17" s="4" t="s">
        <v>109</v>
      </c>
      <c r="BI17" s="69" t="s">
        <v>109</v>
      </c>
      <c r="BJ17" s="75">
        <v>45657</v>
      </c>
      <c r="BK17" s="107" t="s">
        <v>109</v>
      </c>
      <c r="BL17" s="4" t="s">
        <v>109</v>
      </c>
      <c r="BM17" s="4" t="s">
        <v>109</v>
      </c>
      <c r="BN17" s="4" t="b">
        <v>1</v>
      </c>
      <c r="BO17" s="130" t="s">
        <v>109</v>
      </c>
      <c r="BP17" s="4" t="s">
        <v>128</v>
      </c>
      <c r="CF17" s="4" t="s">
        <v>528</v>
      </c>
      <c r="CS17" s="143" t="s">
        <v>3073</v>
      </c>
      <c r="CU17" s="216" t="s">
        <v>3060</v>
      </c>
      <c r="CW17" s="4" t="s">
        <v>3029</v>
      </c>
      <c r="CX17" s="39"/>
    </row>
    <row r="18" spans="1:102" x14ac:dyDescent="0.3">
      <c r="A18" s="2">
        <v>17</v>
      </c>
      <c r="B18" s="47" t="s">
        <v>248</v>
      </c>
      <c r="C18" s="2" t="s">
        <v>119</v>
      </c>
      <c r="D18" s="2" t="s">
        <v>119</v>
      </c>
      <c r="E18" s="2" t="s">
        <v>119</v>
      </c>
      <c r="F18" s="47" t="s">
        <v>249</v>
      </c>
      <c r="G18" s="2" t="s">
        <v>245</v>
      </c>
      <c r="H18" s="2" t="s">
        <v>146</v>
      </c>
      <c r="I18" s="2" t="s">
        <v>113</v>
      </c>
      <c r="J18" s="2" t="s">
        <v>109</v>
      </c>
      <c r="K18" s="2" t="s">
        <v>250</v>
      </c>
      <c r="L18" s="2" t="s">
        <v>251</v>
      </c>
      <c r="M18" s="2" t="s">
        <v>109</v>
      </c>
      <c r="N18" s="2" t="s">
        <v>109</v>
      </c>
      <c r="O18" s="68" t="s">
        <v>109</v>
      </c>
      <c r="Q18" s="2" t="s">
        <v>109</v>
      </c>
      <c r="R18" s="67" t="s">
        <v>109</v>
      </c>
      <c r="S18" s="2" t="s">
        <v>109</v>
      </c>
      <c r="T18" s="67" t="s">
        <v>109</v>
      </c>
      <c r="U18" s="2" t="s">
        <v>116</v>
      </c>
      <c r="V18" s="2" t="s">
        <v>117</v>
      </c>
      <c r="W18" s="2" t="b">
        <v>0</v>
      </c>
      <c r="X18" s="2" t="s">
        <v>109</v>
      </c>
      <c r="Y18" s="2" t="s">
        <v>242</v>
      </c>
      <c r="AA18" s="2" t="s">
        <v>109</v>
      </c>
      <c r="AB18" s="2" t="s">
        <v>109</v>
      </c>
      <c r="AC18" s="2" t="s">
        <v>109</v>
      </c>
      <c r="AD18" s="2" t="s">
        <v>109</v>
      </c>
      <c r="AE18" s="2" t="s">
        <v>109</v>
      </c>
      <c r="AF18" s="2" t="s">
        <v>3074</v>
      </c>
      <c r="AG18" s="3" t="s">
        <v>3075</v>
      </c>
      <c r="AH18" s="3" t="s">
        <v>3076</v>
      </c>
      <c r="AI18" s="2">
        <v>1</v>
      </c>
      <c r="AJ18" s="2" t="s">
        <v>3072</v>
      </c>
      <c r="AK18" s="2" t="s">
        <v>121</v>
      </c>
      <c r="AL18" s="2" t="s">
        <v>3027</v>
      </c>
      <c r="AM18" s="68">
        <v>44117</v>
      </c>
      <c r="AN18" s="2" t="s">
        <v>122</v>
      </c>
      <c r="AO18" s="2" t="s">
        <v>109</v>
      </c>
      <c r="AP18" s="109" t="s">
        <v>109</v>
      </c>
      <c r="AQ18" s="2" t="b">
        <v>0</v>
      </c>
      <c r="AR18" s="2" t="s">
        <v>109</v>
      </c>
      <c r="AS18" s="2" t="s">
        <v>109</v>
      </c>
      <c r="AT18" s="2" t="s">
        <v>109</v>
      </c>
      <c r="AU18" s="2" t="b">
        <v>0</v>
      </c>
      <c r="AV18" s="2" t="s">
        <v>109</v>
      </c>
      <c r="AW18" s="2" t="s">
        <v>109</v>
      </c>
      <c r="AY18" s="2" t="s">
        <v>109</v>
      </c>
      <c r="AZ18" s="2" t="s">
        <v>109</v>
      </c>
      <c r="BA18" s="2" t="s">
        <v>109</v>
      </c>
      <c r="BB18" s="2" t="s">
        <v>109</v>
      </c>
      <c r="BC18" s="2" t="s">
        <v>109</v>
      </c>
      <c r="BD18" s="2" t="s">
        <v>109</v>
      </c>
      <c r="BE18" s="2" t="s">
        <v>109</v>
      </c>
      <c r="BF18" s="2" t="s">
        <v>109</v>
      </c>
      <c r="BG18" s="2" t="s">
        <v>425</v>
      </c>
      <c r="BH18" s="2" t="s">
        <v>109</v>
      </c>
      <c r="BI18" s="110" t="s">
        <v>3077</v>
      </c>
      <c r="BJ18" s="76">
        <v>44408</v>
      </c>
      <c r="BK18" s="166" t="s">
        <v>3078</v>
      </c>
      <c r="BL18" s="2" t="s">
        <v>109</v>
      </c>
      <c r="BM18" s="2" t="s">
        <v>109</v>
      </c>
      <c r="BN18" s="2" t="b">
        <v>1</v>
      </c>
      <c r="BO18" s="85" t="s">
        <v>109</v>
      </c>
      <c r="BP18" s="2" t="s">
        <v>128</v>
      </c>
      <c r="CF18" s="2" t="s">
        <v>174</v>
      </c>
      <c r="CS18" s="142" t="s">
        <v>257</v>
      </c>
      <c r="CU18" s="132" t="s">
        <v>3060</v>
      </c>
      <c r="CW18" s="2" t="s">
        <v>3029</v>
      </c>
      <c r="CX18" s="38"/>
    </row>
    <row r="19" spans="1:102" ht="26.4" x14ac:dyDescent="0.3">
      <c r="A19" s="4">
        <v>18</v>
      </c>
      <c r="B19" s="46" t="s">
        <v>258</v>
      </c>
      <c r="C19" s="4" t="s">
        <v>119</v>
      </c>
      <c r="D19" s="4" t="s">
        <v>119</v>
      </c>
      <c r="E19" s="4" t="s">
        <v>119</v>
      </c>
      <c r="F19" s="46" t="s">
        <v>259</v>
      </c>
      <c r="G19" s="4" t="s">
        <v>245</v>
      </c>
      <c r="H19" s="4" t="s">
        <v>146</v>
      </c>
      <c r="I19" s="4" t="s">
        <v>109</v>
      </c>
      <c r="J19" s="4" t="s">
        <v>109</v>
      </c>
      <c r="K19" s="4" t="s">
        <v>250</v>
      </c>
      <c r="L19" s="4" t="s">
        <v>251</v>
      </c>
      <c r="M19" s="4" t="s">
        <v>109</v>
      </c>
      <c r="N19" s="4" t="s">
        <v>109</v>
      </c>
      <c r="O19" s="69" t="s">
        <v>109</v>
      </c>
      <c r="Q19" s="4" t="s">
        <v>109</v>
      </c>
      <c r="R19" s="64" t="s">
        <v>109</v>
      </c>
      <c r="S19" s="4" t="s">
        <v>109</v>
      </c>
      <c r="T19" s="64" t="s">
        <v>109</v>
      </c>
      <c r="U19" s="4" t="s">
        <v>116</v>
      </c>
      <c r="V19" s="4" t="s">
        <v>117</v>
      </c>
      <c r="W19" s="4" t="b">
        <v>0</v>
      </c>
      <c r="X19" s="4" t="s">
        <v>109</v>
      </c>
      <c r="Y19" s="4" t="s">
        <v>242</v>
      </c>
      <c r="AA19" s="4" t="s">
        <v>109</v>
      </c>
      <c r="AB19" s="4" t="s">
        <v>109</v>
      </c>
      <c r="AC19" s="4" t="s">
        <v>109</v>
      </c>
      <c r="AD19" s="4" t="s">
        <v>109</v>
      </c>
      <c r="AE19" s="4" t="s">
        <v>109</v>
      </c>
      <c r="AF19" s="4" t="s">
        <v>3079</v>
      </c>
      <c r="AG19" s="5" t="s">
        <v>3080</v>
      </c>
      <c r="AH19" s="5" t="s">
        <v>3081</v>
      </c>
      <c r="AI19" s="4">
        <v>1</v>
      </c>
      <c r="AJ19" s="4" t="s">
        <v>3072</v>
      </c>
      <c r="AK19" s="4" t="s">
        <v>121</v>
      </c>
      <c r="AL19" s="4" t="s">
        <v>3027</v>
      </c>
      <c r="AM19" s="69">
        <v>43909</v>
      </c>
      <c r="AN19" s="4" t="s">
        <v>122</v>
      </c>
      <c r="AO19" s="4" t="s">
        <v>109</v>
      </c>
      <c r="AP19" s="217" t="s">
        <v>109</v>
      </c>
      <c r="AQ19" s="4" t="b">
        <v>0</v>
      </c>
      <c r="AR19" s="4" t="s">
        <v>109</v>
      </c>
      <c r="AS19" s="4" t="s">
        <v>109</v>
      </c>
      <c r="AT19" s="4" t="s">
        <v>109</v>
      </c>
      <c r="AU19" s="4" t="b">
        <v>0</v>
      </c>
      <c r="AV19" s="4" t="s">
        <v>109</v>
      </c>
      <c r="AW19" s="4" t="s">
        <v>109</v>
      </c>
      <c r="AY19" s="4" t="s">
        <v>109</v>
      </c>
      <c r="AZ19" s="4" t="s">
        <v>109</v>
      </c>
      <c r="BA19" s="4" t="s">
        <v>109</v>
      </c>
      <c r="BB19" s="4" t="s">
        <v>109</v>
      </c>
      <c r="BC19" s="4" t="s">
        <v>109</v>
      </c>
      <c r="BD19" s="4" t="s">
        <v>109</v>
      </c>
      <c r="BE19" s="4" t="s">
        <v>109</v>
      </c>
      <c r="BF19" s="4" t="s">
        <v>109</v>
      </c>
      <c r="BG19" s="4" t="s">
        <v>126</v>
      </c>
      <c r="BH19" s="4" t="s">
        <v>109</v>
      </c>
      <c r="BI19" s="167" t="s">
        <v>3082</v>
      </c>
      <c r="BJ19" s="75">
        <v>43830</v>
      </c>
      <c r="BK19" s="107" t="s">
        <v>3083</v>
      </c>
      <c r="BL19" s="4" t="s">
        <v>109</v>
      </c>
      <c r="BM19" s="4" t="s">
        <v>109</v>
      </c>
      <c r="BN19" s="97" t="b">
        <v>0</v>
      </c>
      <c r="BO19" s="130" t="s">
        <v>109</v>
      </c>
      <c r="BP19" s="4" t="s">
        <v>128</v>
      </c>
      <c r="CF19" s="4" t="s">
        <v>469</v>
      </c>
      <c r="CS19" s="143" t="s">
        <v>271</v>
      </c>
      <c r="CU19" s="216" t="s">
        <v>3060</v>
      </c>
      <c r="CW19" s="4" t="s">
        <v>3029</v>
      </c>
      <c r="CX19" s="39"/>
    </row>
    <row r="20" spans="1:102" ht="26.4" x14ac:dyDescent="0.3">
      <c r="A20" s="2">
        <v>19</v>
      </c>
      <c r="B20" s="47" t="s">
        <v>265</v>
      </c>
      <c r="C20" s="2" t="s">
        <v>119</v>
      </c>
      <c r="D20" s="2" t="s">
        <v>119</v>
      </c>
      <c r="E20" s="2" t="s">
        <v>119</v>
      </c>
      <c r="F20" s="47" t="s">
        <v>266</v>
      </c>
      <c r="G20" s="2" t="s">
        <v>245</v>
      </c>
      <c r="H20" s="2" t="s">
        <v>146</v>
      </c>
      <c r="I20" s="2" t="s">
        <v>113</v>
      </c>
      <c r="J20" s="2" t="s">
        <v>109</v>
      </c>
      <c r="K20" s="2" t="s">
        <v>250</v>
      </c>
      <c r="L20" s="2" t="s">
        <v>207</v>
      </c>
      <c r="M20" s="2" t="s">
        <v>109</v>
      </c>
      <c r="N20" s="2" t="s">
        <v>109</v>
      </c>
      <c r="O20" s="68" t="s">
        <v>109</v>
      </c>
      <c r="Q20" s="2" t="s">
        <v>109</v>
      </c>
      <c r="R20" s="67" t="s">
        <v>109</v>
      </c>
      <c r="S20" s="2" t="s">
        <v>109</v>
      </c>
      <c r="T20" s="67" t="s">
        <v>109</v>
      </c>
      <c r="U20" s="2" t="s">
        <v>116</v>
      </c>
      <c r="V20" s="2" t="s">
        <v>117</v>
      </c>
      <c r="W20" s="2" t="b">
        <v>0</v>
      </c>
      <c r="X20" s="2" t="s">
        <v>109</v>
      </c>
      <c r="Y20" s="2" t="s">
        <v>242</v>
      </c>
      <c r="AA20" s="2" t="s">
        <v>109</v>
      </c>
      <c r="AB20" s="2" t="s">
        <v>109</v>
      </c>
      <c r="AC20" s="2" t="s">
        <v>109</v>
      </c>
      <c r="AD20" s="2" t="s">
        <v>109</v>
      </c>
      <c r="AE20" s="2" t="s">
        <v>109</v>
      </c>
      <c r="AF20" s="2" t="s">
        <v>3084</v>
      </c>
      <c r="AG20" s="3" t="s">
        <v>3085</v>
      </c>
      <c r="AH20" s="3" t="s">
        <v>3086</v>
      </c>
      <c r="AI20" s="2">
        <v>1</v>
      </c>
      <c r="AJ20" s="2" t="s">
        <v>3072</v>
      </c>
      <c r="AK20" s="2" t="s">
        <v>121</v>
      </c>
      <c r="AL20" s="2" t="s">
        <v>3027</v>
      </c>
      <c r="AM20" s="68">
        <v>45240</v>
      </c>
      <c r="AN20" s="2" t="s">
        <v>122</v>
      </c>
      <c r="AO20" s="2" t="s">
        <v>109</v>
      </c>
      <c r="AP20" s="109" t="s">
        <v>109</v>
      </c>
      <c r="AQ20" s="2" t="b">
        <v>0</v>
      </c>
      <c r="AR20" s="2" t="s">
        <v>109</v>
      </c>
      <c r="AS20" s="2" t="s">
        <v>109</v>
      </c>
      <c r="AT20" s="2" t="s">
        <v>109</v>
      </c>
      <c r="AU20" s="2" t="b">
        <v>0</v>
      </c>
      <c r="AV20" s="2" t="s">
        <v>109</v>
      </c>
      <c r="AW20" s="2" t="s">
        <v>109</v>
      </c>
      <c r="AY20" s="2" t="s">
        <v>109</v>
      </c>
      <c r="AZ20" s="2" t="s">
        <v>109</v>
      </c>
      <c r="BA20" s="2" t="s">
        <v>109</v>
      </c>
      <c r="BB20" s="2" t="s">
        <v>109</v>
      </c>
      <c r="BC20" s="2" t="s">
        <v>109</v>
      </c>
      <c r="BD20" s="2" t="s">
        <v>109</v>
      </c>
      <c r="BE20" s="2" t="s">
        <v>109</v>
      </c>
      <c r="BF20" s="2" t="s">
        <v>109</v>
      </c>
      <c r="BG20" s="2" t="s">
        <v>126</v>
      </c>
      <c r="BH20" s="2" t="s">
        <v>109</v>
      </c>
      <c r="BI20" s="168" t="s">
        <v>3087</v>
      </c>
      <c r="BJ20" s="76">
        <v>43830</v>
      </c>
      <c r="BK20" s="108" t="s">
        <v>3083</v>
      </c>
      <c r="BL20" s="2" t="s">
        <v>109</v>
      </c>
      <c r="BM20" s="2" t="s">
        <v>109</v>
      </c>
      <c r="BN20" s="2" t="b">
        <v>1</v>
      </c>
      <c r="BO20" s="85" t="s">
        <v>109</v>
      </c>
      <c r="BP20" s="2" t="s">
        <v>128</v>
      </c>
      <c r="CF20" s="2" t="s">
        <v>270</v>
      </c>
      <c r="CS20" s="142" t="s">
        <v>271</v>
      </c>
      <c r="CU20" s="132" t="s">
        <v>3060</v>
      </c>
      <c r="CW20" s="2" t="s">
        <v>3029</v>
      </c>
      <c r="CX20" s="38"/>
    </row>
    <row r="21" spans="1:102" x14ac:dyDescent="0.3">
      <c r="A21" s="4">
        <v>20</v>
      </c>
      <c r="B21" s="46" t="s">
        <v>272</v>
      </c>
      <c r="C21" s="4" t="s">
        <v>119</v>
      </c>
      <c r="D21" s="4" t="s">
        <v>119</v>
      </c>
      <c r="E21" s="4" t="s">
        <v>119</v>
      </c>
      <c r="F21" s="46" t="s">
        <v>273</v>
      </c>
      <c r="G21" s="4" t="s">
        <v>274</v>
      </c>
      <c r="H21" s="4" t="s">
        <v>146</v>
      </c>
      <c r="I21" s="4" t="s">
        <v>275</v>
      </c>
      <c r="J21" s="4" t="s">
        <v>109</v>
      </c>
      <c r="K21" s="4" t="s">
        <v>250</v>
      </c>
      <c r="L21" s="4" t="s">
        <v>235</v>
      </c>
      <c r="M21" s="4" t="s">
        <v>109</v>
      </c>
      <c r="N21" s="4" t="s">
        <v>109</v>
      </c>
      <c r="O21" s="69" t="s">
        <v>109</v>
      </c>
      <c r="Q21" s="4" t="s">
        <v>109</v>
      </c>
      <c r="R21" s="64" t="s">
        <v>109</v>
      </c>
      <c r="S21" s="4" t="s">
        <v>109</v>
      </c>
      <c r="T21" s="64" t="s">
        <v>109</v>
      </c>
      <c r="U21" s="4" t="s">
        <v>116</v>
      </c>
      <c r="V21" s="4" t="s">
        <v>117</v>
      </c>
      <c r="W21" s="4" t="b">
        <v>0</v>
      </c>
      <c r="X21" s="4" t="s">
        <v>109</v>
      </c>
      <c r="Y21" s="4" t="s">
        <v>242</v>
      </c>
      <c r="AA21" s="4" t="s">
        <v>109</v>
      </c>
      <c r="AB21" s="4" t="s">
        <v>109</v>
      </c>
      <c r="AC21" s="4" t="s">
        <v>109</v>
      </c>
      <c r="AD21" s="4" t="s">
        <v>109</v>
      </c>
      <c r="AE21" s="4" t="s">
        <v>109</v>
      </c>
      <c r="AF21" s="4" t="s">
        <v>3088</v>
      </c>
      <c r="AG21" s="5" t="s">
        <v>3089</v>
      </c>
      <c r="AH21" s="5" t="s">
        <v>3090</v>
      </c>
      <c r="AI21" s="4">
        <v>1</v>
      </c>
      <c r="AJ21" s="4" t="s">
        <v>3072</v>
      </c>
      <c r="AK21" s="4" t="s">
        <v>121</v>
      </c>
      <c r="AL21" s="4" t="s">
        <v>3027</v>
      </c>
      <c r="AM21" s="69">
        <v>45240</v>
      </c>
      <c r="AN21" s="4" t="s">
        <v>122</v>
      </c>
      <c r="AO21" s="4" t="s">
        <v>109</v>
      </c>
      <c r="AP21" s="217" t="s">
        <v>109</v>
      </c>
      <c r="AQ21" s="4" t="b">
        <v>0</v>
      </c>
      <c r="AR21" s="4" t="s">
        <v>109</v>
      </c>
      <c r="AS21" s="4" t="s">
        <v>109</v>
      </c>
      <c r="AT21" s="4" t="s">
        <v>109</v>
      </c>
      <c r="AU21" s="4" t="b">
        <v>0</v>
      </c>
      <c r="AV21" s="4" t="s">
        <v>109</v>
      </c>
      <c r="AW21" s="4" t="s">
        <v>109</v>
      </c>
      <c r="AY21" s="4" t="s">
        <v>109</v>
      </c>
      <c r="AZ21" s="4" t="s">
        <v>109</v>
      </c>
      <c r="BA21" s="4" t="s">
        <v>109</v>
      </c>
      <c r="BB21" s="4" t="s">
        <v>109</v>
      </c>
      <c r="BC21" s="4" t="s">
        <v>109</v>
      </c>
      <c r="BD21" s="4" t="s">
        <v>109</v>
      </c>
      <c r="BE21" s="4" t="s">
        <v>109</v>
      </c>
      <c r="BF21" s="4" t="s">
        <v>109</v>
      </c>
      <c r="BG21" s="4" t="s">
        <v>126</v>
      </c>
      <c r="BH21" s="4" t="s">
        <v>109</v>
      </c>
      <c r="BI21" s="169" t="s">
        <v>3091</v>
      </c>
      <c r="BJ21" s="75">
        <v>43809</v>
      </c>
      <c r="BK21" s="107" t="s">
        <v>3092</v>
      </c>
      <c r="BL21" s="4" t="s">
        <v>109</v>
      </c>
      <c r="BM21" s="4" t="s">
        <v>109</v>
      </c>
      <c r="BN21" s="97" t="b">
        <v>0</v>
      </c>
      <c r="BO21" s="130" t="s">
        <v>109</v>
      </c>
      <c r="BP21" s="4" t="s">
        <v>128</v>
      </c>
      <c r="CF21" s="4" t="s">
        <v>157</v>
      </c>
      <c r="CS21" s="148" t="s">
        <v>257</v>
      </c>
      <c r="CU21" s="216" t="s">
        <v>3060</v>
      </c>
      <c r="CW21" s="4" t="s">
        <v>3029</v>
      </c>
      <c r="CX21" s="39"/>
    </row>
    <row r="22" spans="1:102" ht="52.8" x14ac:dyDescent="0.3">
      <c r="A22" s="2">
        <v>21</v>
      </c>
      <c r="B22" s="47" t="s">
        <v>283</v>
      </c>
      <c r="C22" s="2" t="s">
        <v>119</v>
      </c>
      <c r="D22" s="2" t="s">
        <v>119</v>
      </c>
      <c r="E22" s="2" t="s">
        <v>119</v>
      </c>
      <c r="F22" s="47" t="s">
        <v>284</v>
      </c>
      <c r="G22" s="2" t="s">
        <v>274</v>
      </c>
      <c r="H22" s="2" t="s">
        <v>112</v>
      </c>
      <c r="I22" s="2" t="s">
        <v>113</v>
      </c>
      <c r="J22" s="2" t="s">
        <v>109</v>
      </c>
      <c r="K22" s="2" t="s">
        <v>114</v>
      </c>
      <c r="L22" s="2" t="s">
        <v>207</v>
      </c>
      <c r="M22" s="2" t="s">
        <v>109</v>
      </c>
      <c r="N22" s="2" t="s">
        <v>109</v>
      </c>
      <c r="O22" s="68" t="s">
        <v>109</v>
      </c>
      <c r="Q22" s="2" t="s">
        <v>109</v>
      </c>
      <c r="R22" s="67" t="s">
        <v>109</v>
      </c>
      <c r="S22" s="2" t="s">
        <v>109</v>
      </c>
      <c r="T22" s="67" t="s">
        <v>109</v>
      </c>
      <c r="U22" s="2" t="s">
        <v>285</v>
      </c>
      <c r="V22" s="2" t="s">
        <v>117</v>
      </c>
      <c r="W22" s="2" t="b">
        <v>0</v>
      </c>
      <c r="X22" s="2" t="s">
        <v>109</v>
      </c>
      <c r="Y22" s="2" t="s">
        <v>242</v>
      </c>
      <c r="AA22" s="2" t="s">
        <v>109</v>
      </c>
      <c r="AB22" s="2" t="s">
        <v>109</v>
      </c>
      <c r="AC22" s="2" t="s">
        <v>109</v>
      </c>
      <c r="AD22" s="2" t="s">
        <v>109</v>
      </c>
      <c r="AE22" s="2" t="s">
        <v>109</v>
      </c>
      <c r="AF22" s="2" t="s">
        <v>3093</v>
      </c>
      <c r="AG22" s="3" t="s">
        <v>3094</v>
      </c>
      <c r="AH22" s="3" t="s">
        <v>3095</v>
      </c>
      <c r="AI22" s="2">
        <v>1</v>
      </c>
      <c r="AJ22" s="2" t="s">
        <v>3072</v>
      </c>
      <c r="AK22" s="2" t="s">
        <v>121</v>
      </c>
      <c r="AL22" s="2" t="s">
        <v>3027</v>
      </c>
      <c r="AM22" s="68">
        <v>43349</v>
      </c>
      <c r="AN22" s="2" t="s">
        <v>122</v>
      </c>
      <c r="AO22" s="2" t="s">
        <v>109</v>
      </c>
      <c r="AP22" s="109" t="s">
        <v>109</v>
      </c>
      <c r="AQ22" s="2" t="b">
        <v>0</v>
      </c>
      <c r="AR22" s="2" t="s">
        <v>109</v>
      </c>
      <c r="AS22" s="2" t="s">
        <v>109</v>
      </c>
      <c r="AT22" s="2" t="s">
        <v>109</v>
      </c>
      <c r="AU22" s="2" t="b">
        <v>0</v>
      </c>
      <c r="AV22" s="2" t="s">
        <v>109</v>
      </c>
      <c r="AW22" s="2" t="s">
        <v>109</v>
      </c>
      <c r="AY22" s="2" t="s">
        <v>109</v>
      </c>
      <c r="AZ22" s="2" t="s">
        <v>109</v>
      </c>
      <c r="BA22" s="2" t="s">
        <v>109</v>
      </c>
      <c r="BB22" s="2" t="s">
        <v>109</v>
      </c>
      <c r="BC22" s="2" t="s">
        <v>109</v>
      </c>
      <c r="BD22" s="2" t="s">
        <v>109</v>
      </c>
      <c r="BE22" s="2" t="s">
        <v>109</v>
      </c>
      <c r="BF22" s="2" t="s">
        <v>109</v>
      </c>
      <c r="BG22" s="2" t="s">
        <v>126</v>
      </c>
      <c r="BH22" s="2" t="s">
        <v>109</v>
      </c>
      <c r="BI22" s="168" t="s">
        <v>3096</v>
      </c>
      <c r="BJ22" s="76">
        <v>44135</v>
      </c>
      <c r="BK22" s="108" t="s">
        <v>3092</v>
      </c>
      <c r="BL22" s="2" t="s">
        <v>109</v>
      </c>
      <c r="BM22" s="2" t="s">
        <v>109</v>
      </c>
      <c r="BN22" s="98" t="b">
        <v>0</v>
      </c>
      <c r="BO22" s="85" t="s">
        <v>109</v>
      </c>
      <c r="BP22" s="2" t="s">
        <v>128</v>
      </c>
      <c r="CF22" s="2" t="s">
        <v>336</v>
      </c>
      <c r="CS22" s="142" t="s">
        <v>3097</v>
      </c>
      <c r="CU22" s="132" t="s">
        <v>3060</v>
      </c>
      <c r="CW22" s="2" t="s">
        <v>3029</v>
      </c>
      <c r="CX22" s="38"/>
    </row>
    <row r="23" spans="1:102" x14ac:dyDescent="0.3">
      <c r="A23" s="4">
        <v>22</v>
      </c>
      <c r="B23" s="46" t="s">
        <v>3098</v>
      </c>
      <c r="C23" s="4" t="s">
        <v>119</v>
      </c>
      <c r="D23" s="4" t="s">
        <v>119</v>
      </c>
      <c r="E23" s="4" t="s">
        <v>119</v>
      </c>
      <c r="F23" s="46" t="s">
        <v>259</v>
      </c>
      <c r="G23" s="4" t="s">
        <v>245</v>
      </c>
      <c r="H23" s="4" t="s">
        <v>146</v>
      </c>
      <c r="I23" s="4" t="s">
        <v>109</v>
      </c>
      <c r="J23" s="4" t="s">
        <v>109</v>
      </c>
      <c r="K23" s="4" t="s">
        <v>250</v>
      </c>
      <c r="L23" s="4" t="s">
        <v>251</v>
      </c>
      <c r="M23" s="4" t="s">
        <v>109</v>
      </c>
      <c r="N23" s="4" t="s">
        <v>109</v>
      </c>
      <c r="O23" s="69" t="s">
        <v>109</v>
      </c>
      <c r="Q23" s="4" t="s">
        <v>109</v>
      </c>
      <c r="R23" s="64" t="s">
        <v>109</v>
      </c>
      <c r="S23" s="4" t="s">
        <v>109</v>
      </c>
      <c r="T23" s="64" t="s">
        <v>109</v>
      </c>
      <c r="U23" s="4" t="s">
        <v>116</v>
      </c>
      <c r="V23" s="4" t="s">
        <v>117</v>
      </c>
      <c r="W23" s="4" t="b">
        <v>0</v>
      </c>
      <c r="X23" s="4" t="s">
        <v>109</v>
      </c>
      <c r="Y23" s="4" t="s">
        <v>242</v>
      </c>
      <c r="AA23" s="4" t="s">
        <v>109</v>
      </c>
      <c r="AB23" s="4" t="s">
        <v>109</v>
      </c>
      <c r="AC23" s="4" t="s">
        <v>109</v>
      </c>
      <c r="AD23" s="4" t="s">
        <v>109</v>
      </c>
      <c r="AE23" s="4" t="s">
        <v>109</v>
      </c>
      <c r="AF23" s="4" t="s">
        <v>3099</v>
      </c>
      <c r="AG23" s="5" t="s">
        <v>3100</v>
      </c>
      <c r="AH23" s="5" t="s">
        <v>3101</v>
      </c>
      <c r="AI23" s="4">
        <v>1</v>
      </c>
      <c r="AJ23" s="4" t="s">
        <v>3072</v>
      </c>
      <c r="AK23" s="4" t="s">
        <v>121</v>
      </c>
      <c r="AL23" s="4" t="s">
        <v>3027</v>
      </c>
      <c r="AM23" s="69" t="s">
        <v>109</v>
      </c>
      <c r="AN23" s="4" t="s">
        <v>122</v>
      </c>
      <c r="AO23" s="4" t="s">
        <v>109</v>
      </c>
      <c r="AP23" s="217" t="s">
        <v>109</v>
      </c>
      <c r="AQ23" s="4" t="b">
        <v>0</v>
      </c>
      <c r="AR23" s="4" t="s">
        <v>109</v>
      </c>
      <c r="AS23" s="4" t="s">
        <v>109</v>
      </c>
      <c r="AT23" s="4" t="s">
        <v>109</v>
      </c>
      <c r="AU23" s="4" t="b">
        <v>0</v>
      </c>
      <c r="AV23" s="4" t="s">
        <v>109</v>
      </c>
      <c r="AW23" s="4" t="s">
        <v>109</v>
      </c>
      <c r="AY23" s="4" t="s">
        <v>109</v>
      </c>
      <c r="AZ23" s="4" t="s">
        <v>109</v>
      </c>
      <c r="BA23" s="4" t="s">
        <v>109</v>
      </c>
      <c r="BB23" s="4" t="s">
        <v>109</v>
      </c>
      <c r="BC23" s="4" t="s">
        <v>109</v>
      </c>
      <c r="BD23" s="4" t="s">
        <v>109</v>
      </c>
      <c r="BE23" s="4" t="s">
        <v>109</v>
      </c>
      <c r="BF23" s="4" t="s">
        <v>109</v>
      </c>
      <c r="BG23" s="4" t="s">
        <v>296</v>
      </c>
      <c r="BH23" s="4" t="s">
        <v>109</v>
      </c>
      <c r="BI23" s="69" t="s">
        <v>3102</v>
      </c>
      <c r="BJ23" s="75" t="s">
        <v>109</v>
      </c>
      <c r="BK23" s="107">
        <v>46387</v>
      </c>
      <c r="BL23" s="4" t="s">
        <v>109</v>
      </c>
      <c r="BM23" s="4" t="s">
        <v>109</v>
      </c>
      <c r="BN23" s="97" t="b">
        <v>0</v>
      </c>
      <c r="BO23" s="130" t="s">
        <v>109</v>
      </c>
      <c r="BP23" s="4" t="s">
        <v>128</v>
      </c>
      <c r="CF23" s="4" t="s">
        <v>109</v>
      </c>
      <c r="CS23" s="143" t="s">
        <v>257</v>
      </c>
      <c r="CU23" s="216" t="s">
        <v>3060</v>
      </c>
      <c r="CW23" s="4" t="s">
        <v>3029</v>
      </c>
      <c r="CX23" s="39"/>
    </row>
    <row r="24" spans="1:102" x14ac:dyDescent="0.3">
      <c r="A24" s="2">
        <v>23</v>
      </c>
      <c r="B24" s="43" t="s">
        <v>298</v>
      </c>
      <c r="C24" s="2" t="s">
        <v>109</v>
      </c>
      <c r="D24" s="7" t="s">
        <v>109</v>
      </c>
      <c r="E24" s="7" t="s">
        <v>109</v>
      </c>
      <c r="F24" s="47" t="s">
        <v>299</v>
      </c>
      <c r="G24" s="2" t="s">
        <v>111</v>
      </c>
      <c r="H24" s="2" t="s">
        <v>146</v>
      </c>
      <c r="I24" s="2" t="s">
        <v>113</v>
      </c>
      <c r="J24" s="2" t="s">
        <v>109</v>
      </c>
      <c r="K24" s="2" t="s">
        <v>114</v>
      </c>
      <c r="L24" s="2" t="s">
        <v>115</v>
      </c>
      <c r="M24" s="2" t="s">
        <v>109</v>
      </c>
      <c r="N24" s="2" t="s">
        <v>109</v>
      </c>
      <c r="O24" s="2" t="s">
        <v>109</v>
      </c>
      <c r="Q24" s="2" t="s">
        <v>109</v>
      </c>
      <c r="R24" s="2" t="s">
        <v>109</v>
      </c>
      <c r="S24" s="2" t="s">
        <v>109</v>
      </c>
      <c r="T24" s="2" t="s">
        <v>109</v>
      </c>
      <c r="U24" s="2" t="s">
        <v>116</v>
      </c>
      <c r="V24" s="2" t="s">
        <v>3022</v>
      </c>
      <c r="W24" s="2" t="b">
        <v>0</v>
      </c>
      <c r="X24" s="2" t="s">
        <v>109</v>
      </c>
      <c r="Y24" s="2" t="s">
        <v>107</v>
      </c>
      <c r="AA24" s="2" t="s">
        <v>118</v>
      </c>
      <c r="AB24" s="2" t="s">
        <v>118</v>
      </c>
      <c r="AC24" s="2" t="s">
        <v>119</v>
      </c>
      <c r="AD24" s="2" t="s">
        <v>109</v>
      </c>
      <c r="AE24" s="2">
        <v>4.0999999999999996</v>
      </c>
      <c r="AF24" s="2" t="s">
        <v>3023</v>
      </c>
      <c r="AG24" s="3" t="s">
        <v>3103</v>
      </c>
      <c r="AH24" s="3" t="s">
        <v>3025</v>
      </c>
      <c r="AI24" s="2">
        <v>246</v>
      </c>
      <c r="AJ24" s="2" t="s">
        <v>3104</v>
      </c>
      <c r="AK24" s="2" t="s">
        <v>121</v>
      </c>
      <c r="AL24" s="2" t="s">
        <v>3027</v>
      </c>
      <c r="AM24" s="68">
        <v>45247</v>
      </c>
      <c r="AN24" s="2" t="s">
        <v>122</v>
      </c>
      <c r="AO24" s="2" t="s">
        <v>109</v>
      </c>
      <c r="AP24" s="109" t="s">
        <v>109</v>
      </c>
      <c r="AQ24" s="2" t="b">
        <v>0</v>
      </c>
      <c r="AR24" s="2" t="s">
        <v>109</v>
      </c>
      <c r="AS24" s="2" t="s">
        <v>109</v>
      </c>
      <c r="AT24" s="2" t="s">
        <v>118</v>
      </c>
      <c r="AU24" s="2" t="b">
        <v>0</v>
      </c>
      <c r="AV24" s="2" t="s">
        <v>109</v>
      </c>
      <c r="AW24" s="2" t="s">
        <v>118</v>
      </c>
      <c r="AY24" s="2" t="s">
        <v>109</v>
      </c>
      <c r="AZ24" s="2" t="s">
        <v>109</v>
      </c>
      <c r="BA24" s="2" t="s">
        <v>118</v>
      </c>
      <c r="BB24" s="2" t="s">
        <v>118</v>
      </c>
      <c r="BC24" s="2" t="s">
        <v>109</v>
      </c>
      <c r="BD24" s="68" t="s">
        <v>109</v>
      </c>
      <c r="BE24" s="7" t="s">
        <v>109</v>
      </c>
      <c r="BF24" s="2" t="s">
        <v>109</v>
      </c>
      <c r="BG24" s="2" t="s">
        <v>296</v>
      </c>
      <c r="BH24" s="2" t="s">
        <v>109</v>
      </c>
      <c r="BI24" s="68" t="s">
        <v>109</v>
      </c>
      <c r="BJ24" s="68">
        <v>45657</v>
      </c>
      <c r="BK24" s="68" t="s">
        <v>109</v>
      </c>
      <c r="BL24" s="98" t="s">
        <v>109</v>
      </c>
      <c r="BM24" s="2" t="s">
        <v>109</v>
      </c>
      <c r="BN24" s="2" t="b">
        <v>1</v>
      </c>
      <c r="BO24" s="85" t="s">
        <v>109</v>
      </c>
      <c r="BP24" s="2" t="s">
        <v>128</v>
      </c>
      <c r="CF24" s="2" t="s">
        <v>129</v>
      </c>
      <c r="CS24" s="145"/>
      <c r="CU24" s="132" t="s">
        <v>3028</v>
      </c>
      <c r="CW24" s="2" t="s">
        <v>3029</v>
      </c>
      <c r="CX24" s="38"/>
    </row>
    <row r="25" spans="1:102" ht="26.4" x14ac:dyDescent="0.3">
      <c r="A25" s="4">
        <v>24</v>
      </c>
      <c r="B25" s="44" t="s">
        <v>301</v>
      </c>
      <c r="C25" s="53">
        <v>32.6798</v>
      </c>
      <c r="D25" s="53" t="s">
        <v>163</v>
      </c>
      <c r="E25" s="4" t="s">
        <v>164</v>
      </c>
      <c r="F25" s="46" t="s">
        <v>302</v>
      </c>
      <c r="G25" s="64" t="s">
        <v>186</v>
      </c>
      <c r="H25" s="64" t="s">
        <v>113</v>
      </c>
      <c r="I25" s="64" t="s">
        <v>113</v>
      </c>
      <c r="J25" s="64" t="s">
        <v>109</v>
      </c>
      <c r="K25" s="64" t="s">
        <v>234</v>
      </c>
      <c r="L25" s="64" t="s">
        <v>303</v>
      </c>
      <c r="M25" s="64" t="s">
        <v>109</v>
      </c>
      <c r="N25" s="64" t="s">
        <v>109</v>
      </c>
      <c r="O25" s="69">
        <v>45587</v>
      </c>
      <c r="Q25" s="64" t="s">
        <v>109</v>
      </c>
      <c r="R25" s="64" t="s">
        <v>109</v>
      </c>
      <c r="S25" s="64" t="s">
        <v>109</v>
      </c>
      <c r="T25" s="64" t="s">
        <v>109</v>
      </c>
      <c r="U25" s="4" t="s">
        <v>116</v>
      </c>
      <c r="V25" s="4" t="s">
        <v>3022</v>
      </c>
      <c r="W25" s="4" t="b">
        <v>0</v>
      </c>
      <c r="X25" s="4" t="s">
        <v>109</v>
      </c>
      <c r="Y25" s="4" t="s">
        <v>107</v>
      </c>
      <c r="AA25" s="4" t="s">
        <v>109</v>
      </c>
      <c r="AB25" s="4">
        <v>2.9</v>
      </c>
      <c r="AC25" s="4" t="s">
        <v>304</v>
      </c>
      <c r="AD25" s="4" t="s">
        <v>109</v>
      </c>
      <c r="AE25" s="4">
        <v>4.0999999999999996</v>
      </c>
      <c r="AF25" s="4" t="s">
        <v>3030</v>
      </c>
      <c r="AG25" s="5" t="s">
        <v>3103</v>
      </c>
      <c r="AH25" s="5" t="s">
        <v>3105</v>
      </c>
      <c r="AI25" s="4">
        <v>1</v>
      </c>
      <c r="AJ25" s="4" t="s">
        <v>3104</v>
      </c>
      <c r="AK25" s="4" t="s">
        <v>121</v>
      </c>
      <c r="AL25" s="4" t="s">
        <v>3027</v>
      </c>
      <c r="AM25" s="69">
        <v>43739</v>
      </c>
      <c r="AN25" s="4" t="s">
        <v>122</v>
      </c>
      <c r="AO25" s="4" t="s">
        <v>109</v>
      </c>
      <c r="AP25" s="217" t="s">
        <v>109</v>
      </c>
      <c r="AQ25" s="4" t="b">
        <v>0</v>
      </c>
      <c r="AR25" s="4" t="s">
        <v>109</v>
      </c>
      <c r="AS25" s="4" t="s">
        <v>109</v>
      </c>
      <c r="AT25" s="4" t="s">
        <v>118</v>
      </c>
      <c r="AU25" s="4" t="b">
        <v>0</v>
      </c>
      <c r="AV25" s="4" t="s">
        <v>109</v>
      </c>
      <c r="AW25" s="4" t="s">
        <v>109</v>
      </c>
      <c r="AY25" s="4" t="s">
        <v>109</v>
      </c>
      <c r="AZ25" s="4" t="s">
        <v>109</v>
      </c>
      <c r="BA25" s="4" t="s">
        <v>109</v>
      </c>
      <c r="BB25" s="4" t="s">
        <v>109</v>
      </c>
      <c r="BC25" s="6" t="s">
        <v>135</v>
      </c>
      <c r="BD25" s="69" t="s">
        <v>109</v>
      </c>
      <c r="BE25" s="6" t="s">
        <v>109</v>
      </c>
      <c r="BF25" s="4" t="s">
        <v>109</v>
      </c>
      <c r="BG25" s="4" t="s">
        <v>126</v>
      </c>
      <c r="BH25" s="4" t="s">
        <v>109</v>
      </c>
      <c r="BI25" s="69">
        <v>43741</v>
      </c>
      <c r="BJ25" s="69">
        <v>44196</v>
      </c>
      <c r="BK25" s="69">
        <v>44334</v>
      </c>
      <c r="BL25" s="97" t="s">
        <v>109</v>
      </c>
      <c r="BM25" s="97" t="s">
        <v>109</v>
      </c>
      <c r="BN25" s="97" t="b">
        <v>0</v>
      </c>
      <c r="BO25" s="130" t="s">
        <v>109</v>
      </c>
      <c r="BP25" s="4" t="s">
        <v>128</v>
      </c>
      <c r="CF25" s="4" t="s">
        <v>3106</v>
      </c>
      <c r="CS25" s="143" t="s">
        <v>190</v>
      </c>
      <c r="CU25" s="216" t="s">
        <v>3028</v>
      </c>
      <c r="CW25" s="4" t="s">
        <v>3043</v>
      </c>
      <c r="CX25" s="39"/>
    </row>
    <row r="26" spans="1:102" x14ac:dyDescent="0.3">
      <c r="A26" s="2">
        <v>25</v>
      </c>
      <c r="B26" s="43" t="s">
        <v>3107</v>
      </c>
      <c r="C26" s="51">
        <v>32.798000000000002</v>
      </c>
      <c r="D26" s="51">
        <v>-116.498</v>
      </c>
      <c r="E26" s="2" t="s">
        <v>191</v>
      </c>
      <c r="F26" s="47" t="s">
        <v>309</v>
      </c>
      <c r="G26" s="67" t="s">
        <v>166</v>
      </c>
      <c r="H26" s="67" t="s">
        <v>112</v>
      </c>
      <c r="I26" s="67" t="s">
        <v>112</v>
      </c>
      <c r="J26" s="67" t="s">
        <v>109</v>
      </c>
      <c r="K26" s="67" t="s">
        <v>114</v>
      </c>
      <c r="L26" s="67" t="s">
        <v>115</v>
      </c>
      <c r="M26" s="67" t="s">
        <v>109</v>
      </c>
      <c r="N26" s="67" t="s">
        <v>109</v>
      </c>
      <c r="O26" s="68">
        <v>45553</v>
      </c>
      <c r="Q26" s="67">
        <v>6</v>
      </c>
      <c r="R26" s="67" t="s">
        <v>109</v>
      </c>
      <c r="S26" s="67" t="s">
        <v>109</v>
      </c>
      <c r="T26" s="67" t="s">
        <v>109</v>
      </c>
      <c r="U26" s="2" t="s">
        <v>310</v>
      </c>
      <c r="V26" s="2" t="s">
        <v>3022</v>
      </c>
      <c r="W26" s="2" t="b">
        <v>0</v>
      </c>
      <c r="X26" s="2" t="s">
        <v>109</v>
      </c>
      <c r="Y26" s="2" t="s">
        <v>3108</v>
      </c>
      <c r="AA26" s="2" t="s">
        <v>109</v>
      </c>
      <c r="AB26" s="2">
        <v>0.15</v>
      </c>
      <c r="AC26" s="2">
        <v>69</v>
      </c>
      <c r="AD26" s="2" t="s">
        <v>148</v>
      </c>
      <c r="AE26" s="2">
        <v>4.0999999999999996</v>
      </c>
      <c r="AF26" s="2" t="s">
        <v>3109</v>
      </c>
      <c r="AG26" s="3" t="s">
        <v>3103</v>
      </c>
      <c r="AH26" s="3" t="s">
        <v>3110</v>
      </c>
      <c r="AI26" s="2">
        <v>1</v>
      </c>
      <c r="AJ26" s="2" t="s">
        <v>3104</v>
      </c>
      <c r="AK26" s="2" t="s">
        <v>121</v>
      </c>
      <c r="AL26" s="2" t="s">
        <v>3027</v>
      </c>
      <c r="AM26" s="68">
        <v>43163</v>
      </c>
      <c r="AN26" s="2" t="s">
        <v>122</v>
      </c>
      <c r="AO26" s="2" t="s">
        <v>109</v>
      </c>
      <c r="AP26" s="109" t="s">
        <v>109</v>
      </c>
      <c r="AQ26" s="2" t="b">
        <v>0</v>
      </c>
      <c r="AR26" s="2" t="s">
        <v>109</v>
      </c>
      <c r="AS26" s="2" t="s">
        <v>109</v>
      </c>
      <c r="AT26" s="2" t="s">
        <v>118</v>
      </c>
      <c r="AU26" s="2" t="b">
        <v>0</v>
      </c>
      <c r="AV26" s="2" t="s">
        <v>109</v>
      </c>
      <c r="AW26" s="2" t="s">
        <v>109</v>
      </c>
      <c r="AY26" s="2" t="s">
        <v>109</v>
      </c>
      <c r="AZ26" s="2" t="s">
        <v>109</v>
      </c>
      <c r="BA26" s="2" t="s">
        <v>109</v>
      </c>
      <c r="BB26" s="2" t="s">
        <v>109</v>
      </c>
      <c r="BC26" s="2" t="s">
        <v>135</v>
      </c>
      <c r="BD26" s="2" t="s">
        <v>109</v>
      </c>
      <c r="BE26" s="2" t="s">
        <v>109</v>
      </c>
      <c r="BF26" s="2" t="s">
        <v>109</v>
      </c>
      <c r="BG26" s="2" t="s">
        <v>126</v>
      </c>
      <c r="BH26" s="2" t="s">
        <v>109</v>
      </c>
      <c r="BI26" s="68">
        <v>44039</v>
      </c>
      <c r="BJ26" s="68">
        <v>43525</v>
      </c>
      <c r="BK26" s="68">
        <v>44139</v>
      </c>
      <c r="BL26" s="98" t="s">
        <v>109</v>
      </c>
      <c r="BM26" s="98" t="s">
        <v>109</v>
      </c>
      <c r="BN26" s="2" t="b">
        <v>1</v>
      </c>
      <c r="BO26" s="85" t="s">
        <v>109</v>
      </c>
      <c r="BP26" s="2" t="s">
        <v>128</v>
      </c>
      <c r="CF26" s="2" t="s">
        <v>3111</v>
      </c>
      <c r="CS26" s="145"/>
      <c r="CU26" s="132" t="s">
        <v>3028</v>
      </c>
      <c r="CW26" s="2" t="s">
        <v>3112</v>
      </c>
      <c r="CX26" s="38"/>
    </row>
    <row r="27" spans="1:102" x14ac:dyDescent="0.3">
      <c r="A27" s="4">
        <v>26</v>
      </c>
      <c r="B27" s="44" t="s">
        <v>317</v>
      </c>
      <c r="C27" s="53">
        <v>35.787999999999997</v>
      </c>
      <c r="D27" s="53">
        <v>-114.99299999999999</v>
      </c>
      <c r="E27" s="4" t="s">
        <v>318</v>
      </c>
      <c r="F27" s="46" t="s">
        <v>319</v>
      </c>
      <c r="G27" s="64" t="s">
        <v>166</v>
      </c>
      <c r="H27" s="4" t="s">
        <v>146</v>
      </c>
      <c r="I27" s="4" t="s">
        <v>113</v>
      </c>
      <c r="J27" s="4" t="s">
        <v>109</v>
      </c>
      <c r="K27" s="64" t="s">
        <v>234</v>
      </c>
      <c r="L27" s="4" t="s">
        <v>115</v>
      </c>
      <c r="M27" s="4" t="s">
        <v>109</v>
      </c>
      <c r="N27" s="4" t="s">
        <v>109</v>
      </c>
      <c r="O27" s="69">
        <v>45488</v>
      </c>
      <c r="Q27" s="72" t="s">
        <v>320</v>
      </c>
      <c r="R27" s="4" t="s">
        <v>109</v>
      </c>
      <c r="S27" s="4" t="s">
        <v>109</v>
      </c>
      <c r="T27" s="4" t="s">
        <v>109</v>
      </c>
      <c r="U27" s="4" t="s">
        <v>116</v>
      </c>
      <c r="V27" s="4" t="s">
        <v>3022</v>
      </c>
      <c r="W27" s="4" t="b">
        <v>0</v>
      </c>
      <c r="X27" s="4" t="s">
        <v>109</v>
      </c>
      <c r="Y27" s="4" t="s">
        <v>107</v>
      </c>
      <c r="AA27" s="4" t="s">
        <v>109</v>
      </c>
      <c r="AB27" s="4">
        <v>72.12</v>
      </c>
      <c r="AC27" s="4">
        <v>230</v>
      </c>
      <c r="AD27" s="4" t="s">
        <v>109</v>
      </c>
      <c r="AE27" s="4">
        <v>4.0999999999999996</v>
      </c>
      <c r="AF27" s="4" t="s">
        <v>3113</v>
      </c>
      <c r="AG27" s="5" t="s">
        <v>3103</v>
      </c>
      <c r="AH27" s="5" t="s">
        <v>3114</v>
      </c>
      <c r="AI27" s="4">
        <v>1</v>
      </c>
      <c r="AJ27" s="4" t="s">
        <v>3104</v>
      </c>
      <c r="AK27" s="4" t="s">
        <v>121</v>
      </c>
      <c r="AL27" s="4" t="s">
        <v>3027</v>
      </c>
      <c r="AM27" s="69">
        <v>43623</v>
      </c>
      <c r="AN27" s="4" t="s">
        <v>122</v>
      </c>
      <c r="AO27" s="4" t="s">
        <v>109</v>
      </c>
      <c r="AP27" s="217" t="s">
        <v>109</v>
      </c>
      <c r="AQ27" s="4" t="b">
        <v>0</v>
      </c>
      <c r="AR27" s="4" t="s">
        <v>109</v>
      </c>
      <c r="AS27" s="4" t="s">
        <v>109</v>
      </c>
      <c r="AT27" s="4" t="s">
        <v>118</v>
      </c>
      <c r="AU27" s="4" t="b">
        <v>0</v>
      </c>
      <c r="AV27" s="4" t="s">
        <v>109</v>
      </c>
      <c r="AW27" s="4" t="s">
        <v>109</v>
      </c>
      <c r="AY27" s="4" t="s">
        <v>109</v>
      </c>
      <c r="AZ27" s="4" t="s">
        <v>109</v>
      </c>
      <c r="BA27" s="4" t="s">
        <v>109</v>
      </c>
      <c r="BB27" s="4" t="s">
        <v>109</v>
      </c>
      <c r="BC27" s="4" t="s">
        <v>135</v>
      </c>
      <c r="BD27" s="4" t="s">
        <v>109</v>
      </c>
      <c r="BE27" s="4" t="s">
        <v>109</v>
      </c>
      <c r="BF27" s="4" t="s">
        <v>109</v>
      </c>
      <c r="BG27" s="4" t="s">
        <v>322</v>
      </c>
      <c r="BH27" s="4" t="s">
        <v>109</v>
      </c>
      <c r="BI27" s="69">
        <v>44651</v>
      </c>
      <c r="BJ27" s="69">
        <v>44165</v>
      </c>
      <c r="BK27" s="69">
        <v>45874</v>
      </c>
      <c r="BL27" s="97" t="s">
        <v>109</v>
      </c>
      <c r="BM27" s="4" t="s">
        <v>109</v>
      </c>
      <c r="BN27" s="4" t="b">
        <v>1</v>
      </c>
      <c r="BO27" s="130" t="s">
        <v>109</v>
      </c>
      <c r="BP27" s="4" t="s">
        <v>128</v>
      </c>
      <c r="CF27" s="4" t="s">
        <v>2295</v>
      </c>
      <c r="CS27" s="144"/>
      <c r="CU27" s="216" t="s">
        <v>3028</v>
      </c>
      <c r="CW27" s="4" t="s">
        <v>3115</v>
      </c>
      <c r="CX27" s="39"/>
    </row>
    <row r="28" spans="1:102" ht="66" x14ac:dyDescent="0.3">
      <c r="A28" s="2">
        <v>27</v>
      </c>
      <c r="B28" s="43" t="s">
        <v>328</v>
      </c>
      <c r="C28" s="51">
        <v>32.917999999999999</v>
      </c>
      <c r="D28" s="51">
        <v>-117.21899999999999</v>
      </c>
      <c r="E28" s="2" t="s">
        <v>329</v>
      </c>
      <c r="F28" s="47" t="s">
        <v>330</v>
      </c>
      <c r="G28" s="67" t="s">
        <v>331</v>
      </c>
      <c r="H28" s="67" t="s">
        <v>146</v>
      </c>
      <c r="I28" s="67" t="s">
        <v>113</v>
      </c>
      <c r="J28" s="67" t="s">
        <v>109</v>
      </c>
      <c r="K28" s="67" t="s">
        <v>114</v>
      </c>
      <c r="L28" s="67" t="s">
        <v>115</v>
      </c>
      <c r="M28" s="67" t="s">
        <v>109</v>
      </c>
      <c r="N28" s="67" t="s">
        <v>109</v>
      </c>
      <c r="O28" s="68">
        <v>45574</v>
      </c>
      <c r="Q28" s="67" t="s">
        <v>109</v>
      </c>
      <c r="R28" s="67" t="s">
        <v>109</v>
      </c>
      <c r="S28" s="67" t="s">
        <v>109</v>
      </c>
      <c r="T28" s="67" t="s">
        <v>109</v>
      </c>
      <c r="U28" s="2" t="s">
        <v>116</v>
      </c>
      <c r="V28" s="2" t="s">
        <v>3022</v>
      </c>
      <c r="W28" s="2" t="b">
        <v>0</v>
      </c>
      <c r="X28" s="2" t="s">
        <v>109</v>
      </c>
      <c r="Y28" s="2" t="s">
        <v>3108</v>
      </c>
      <c r="AA28" s="2" t="s">
        <v>109</v>
      </c>
      <c r="AB28" s="2">
        <v>13.94</v>
      </c>
      <c r="AC28" s="2">
        <v>230</v>
      </c>
      <c r="AD28" s="2" t="s">
        <v>180</v>
      </c>
      <c r="AE28" s="2">
        <v>4.0999999999999996</v>
      </c>
      <c r="AF28" s="2" t="s">
        <v>3116</v>
      </c>
      <c r="AG28" s="3" t="s">
        <v>3103</v>
      </c>
      <c r="AH28" s="3" t="s">
        <v>3117</v>
      </c>
      <c r="AI28" s="2">
        <v>1</v>
      </c>
      <c r="AJ28" s="2" t="s">
        <v>3104</v>
      </c>
      <c r="AK28" s="2" t="s">
        <v>121</v>
      </c>
      <c r="AL28" s="2" t="s">
        <v>3027</v>
      </c>
      <c r="AM28" s="68">
        <v>43636</v>
      </c>
      <c r="AN28" s="2" t="s">
        <v>122</v>
      </c>
      <c r="AO28" s="2" t="s">
        <v>109</v>
      </c>
      <c r="AP28" s="109" t="s">
        <v>109</v>
      </c>
      <c r="AQ28" s="2" t="b">
        <v>0</v>
      </c>
      <c r="AR28" s="2" t="s">
        <v>109</v>
      </c>
      <c r="AS28" s="2" t="s">
        <v>109</v>
      </c>
      <c r="AT28" s="2" t="s">
        <v>118</v>
      </c>
      <c r="AU28" s="2" t="b">
        <v>0</v>
      </c>
      <c r="AV28" s="2" t="s">
        <v>109</v>
      </c>
      <c r="AW28" s="2" t="s">
        <v>109</v>
      </c>
      <c r="AY28" s="2" t="s">
        <v>109</v>
      </c>
      <c r="AZ28" s="2" t="s">
        <v>109</v>
      </c>
      <c r="BA28" s="2" t="s">
        <v>109</v>
      </c>
      <c r="BB28" s="2" t="s">
        <v>109</v>
      </c>
      <c r="BC28" s="2" t="s">
        <v>135</v>
      </c>
      <c r="BD28" s="2" t="s">
        <v>109</v>
      </c>
      <c r="BE28" s="2" t="s">
        <v>109</v>
      </c>
      <c r="BF28" s="2" t="s">
        <v>109</v>
      </c>
      <c r="BG28" s="2" t="s">
        <v>126</v>
      </c>
      <c r="BH28" s="2" t="s">
        <v>109</v>
      </c>
      <c r="BI28" s="68">
        <v>43934</v>
      </c>
      <c r="BJ28" s="68">
        <v>44018</v>
      </c>
      <c r="BK28" s="68">
        <v>44404</v>
      </c>
      <c r="BL28" s="98" t="s">
        <v>240</v>
      </c>
      <c r="BM28" s="98" t="s">
        <v>109</v>
      </c>
      <c r="BN28" s="98" t="b">
        <v>0</v>
      </c>
      <c r="BO28" s="85" t="s">
        <v>109</v>
      </c>
      <c r="BP28" s="2" t="s">
        <v>128</v>
      </c>
      <c r="CF28" s="2" t="s">
        <v>336</v>
      </c>
      <c r="CS28" s="142" t="s">
        <v>3118</v>
      </c>
      <c r="CU28" s="132" t="s">
        <v>3028</v>
      </c>
      <c r="CW28" s="2" t="s">
        <v>3119</v>
      </c>
      <c r="CX28" s="38"/>
    </row>
    <row r="29" spans="1:102" ht="66" x14ac:dyDescent="0.3">
      <c r="A29" s="4">
        <v>28</v>
      </c>
      <c r="B29" s="44" t="s">
        <v>338</v>
      </c>
      <c r="C29" s="53">
        <v>32.833078999999998</v>
      </c>
      <c r="D29" s="53" t="s">
        <v>339</v>
      </c>
      <c r="E29" s="4" t="s">
        <v>143</v>
      </c>
      <c r="F29" s="46" t="s">
        <v>340</v>
      </c>
      <c r="G29" s="72" t="s">
        <v>233</v>
      </c>
      <c r="H29" s="64" t="s">
        <v>275</v>
      </c>
      <c r="I29" s="64" t="s">
        <v>275</v>
      </c>
      <c r="J29" s="64" t="s">
        <v>109</v>
      </c>
      <c r="K29" s="4" t="s">
        <v>250</v>
      </c>
      <c r="L29" s="64" t="s">
        <v>341</v>
      </c>
      <c r="M29" s="64" t="s">
        <v>109</v>
      </c>
      <c r="N29" s="64" t="s">
        <v>109</v>
      </c>
      <c r="O29" s="69">
        <v>45547</v>
      </c>
      <c r="Q29" s="64" t="s">
        <v>109</v>
      </c>
      <c r="R29" s="64" t="s">
        <v>109</v>
      </c>
      <c r="S29" s="64" t="s">
        <v>342</v>
      </c>
      <c r="T29" s="64" t="s">
        <v>109</v>
      </c>
      <c r="U29" s="4" t="s">
        <v>116</v>
      </c>
      <c r="V29" s="4" t="s">
        <v>3022</v>
      </c>
      <c r="W29" s="4" t="b">
        <v>0</v>
      </c>
      <c r="X29" s="4" t="s">
        <v>109</v>
      </c>
      <c r="Y29" s="4" t="s">
        <v>107</v>
      </c>
      <c r="AA29" s="4" t="s">
        <v>109</v>
      </c>
      <c r="AB29" s="4" t="s">
        <v>118</v>
      </c>
      <c r="AC29" s="4">
        <v>69</v>
      </c>
      <c r="AD29" s="4" t="s">
        <v>148</v>
      </c>
      <c r="AE29" s="4">
        <v>4.0999999999999996</v>
      </c>
      <c r="AF29" s="4" t="s">
        <v>3030</v>
      </c>
      <c r="AG29" s="5" t="s">
        <v>3103</v>
      </c>
      <c r="AH29" s="5" t="s">
        <v>3120</v>
      </c>
      <c r="AI29" s="4">
        <v>1</v>
      </c>
      <c r="AJ29" s="4" t="s">
        <v>3104</v>
      </c>
      <c r="AK29" s="4" t="s">
        <v>121</v>
      </c>
      <c r="AL29" s="4" t="s">
        <v>3027</v>
      </c>
      <c r="AM29" s="69">
        <v>45247</v>
      </c>
      <c r="AN29" s="4" t="s">
        <v>122</v>
      </c>
      <c r="AO29" s="4" t="s">
        <v>109</v>
      </c>
      <c r="AP29" s="217" t="s">
        <v>109</v>
      </c>
      <c r="AQ29" s="4" t="b">
        <v>0</v>
      </c>
      <c r="AR29" s="4" t="s">
        <v>109</v>
      </c>
      <c r="AS29" s="4" t="s">
        <v>109</v>
      </c>
      <c r="AT29" s="4" t="s">
        <v>118</v>
      </c>
      <c r="AU29" s="4" t="b">
        <v>0</v>
      </c>
      <c r="AV29" s="4" t="s">
        <v>109</v>
      </c>
      <c r="AW29" s="4" t="s">
        <v>109</v>
      </c>
      <c r="AY29" s="4" t="s">
        <v>109</v>
      </c>
      <c r="AZ29" s="4" t="s">
        <v>109</v>
      </c>
      <c r="BA29" s="4" t="s">
        <v>109</v>
      </c>
      <c r="BB29" s="4" t="s">
        <v>109</v>
      </c>
      <c r="BC29" s="6" t="s">
        <v>135</v>
      </c>
      <c r="BD29" s="69" t="s">
        <v>109</v>
      </c>
      <c r="BE29" s="6" t="s">
        <v>109</v>
      </c>
      <c r="BF29" s="4" t="s">
        <v>109</v>
      </c>
      <c r="BG29" s="4" t="s">
        <v>126</v>
      </c>
      <c r="BH29" s="4" t="s">
        <v>109</v>
      </c>
      <c r="BI29" s="69">
        <v>43624</v>
      </c>
      <c r="BJ29" s="69">
        <v>43829</v>
      </c>
      <c r="BK29" s="69" t="s">
        <v>109</v>
      </c>
      <c r="BL29" s="97" t="s">
        <v>109</v>
      </c>
      <c r="BM29" s="97" t="s">
        <v>109</v>
      </c>
      <c r="BN29" s="97" t="b">
        <v>0</v>
      </c>
      <c r="BO29" s="130" t="s">
        <v>109</v>
      </c>
      <c r="BP29" s="4" t="s">
        <v>128</v>
      </c>
      <c r="CF29" s="4">
        <v>2020</v>
      </c>
      <c r="CS29" s="143" t="s">
        <v>345</v>
      </c>
      <c r="CU29" s="216" t="s">
        <v>3028</v>
      </c>
      <c r="CW29" s="4" t="s">
        <v>3121</v>
      </c>
      <c r="CX29" s="39"/>
    </row>
    <row r="30" spans="1:102" ht="26.4" x14ac:dyDescent="0.3">
      <c r="A30" s="2">
        <v>29</v>
      </c>
      <c r="B30" s="43" t="s">
        <v>3122</v>
      </c>
      <c r="C30" s="51">
        <v>32.6798</v>
      </c>
      <c r="D30" s="51" t="s">
        <v>163</v>
      </c>
      <c r="E30" s="2" t="s">
        <v>164</v>
      </c>
      <c r="F30" s="47" t="s">
        <v>3123</v>
      </c>
      <c r="G30" s="67" t="s">
        <v>133</v>
      </c>
      <c r="H30" s="67" t="s">
        <v>146</v>
      </c>
      <c r="I30" s="67" t="s">
        <v>113</v>
      </c>
      <c r="J30" s="67" t="s">
        <v>109</v>
      </c>
      <c r="K30" s="67" t="s">
        <v>234</v>
      </c>
      <c r="L30" s="2" t="s">
        <v>365</v>
      </c>
      <c r="M30" s="67" t="s">
        <v>109</v>
      </c>
      <c r="N30" s="67" t="s">
        <v>109</v>
      </c>
      <c r="O30" s="68">
        <v>45587</v>
      </c>
      <c r="Q30" s="67" t="s">
        <v>109</v>
      </c>
      <c r="R30" s="67" t="s">
        <v>109</v>
      </c>
      <c r="S30" s="67" t="s">
        <v>109</v>
      </c>
      <c r="T30" s="67" t="s">
        <v>109</v>
      </c>
      <c r="U30" s="2" t="s">
        <v>116</v>
      </c>
      <c r="V30" s="2" t="s">
        <v>3022</v>
      </c>
      <c r="W30" s="2" t="b">
        <v>0</v>
      </c>
      <c r="X30" s="2" t="s">
        <v>109</v>
      </c>
      <c r="Y30" s="2" t="s">
        <v>3124</v>
      </c>
      <c r="AA30" s="2" t="s">
        <v>109</v>
      </c>
      <c r="AB30" s="2">
        <v>2.9</v>
      </c>
      <c r="AC30" s="2">
        <v>500</v>
      </c>
      <c r="AD30" s="2" t="s">
        <v>3125</v>
      </c>
      <c r="AE30" s="2">
        <v>4.0999999999999996</v>
      </c>
      <c r="AF30" s="2" t="s">
        <v>3041</v>
      </c>
      <c r="AG30" s="3" t="s">
        <v>3103</v>
      </c>
      <c r="AH30" s="3" t="s">
        <v>3126</v>
      </c>
      <c r="AI30" s="2">
        <v>1</v>
      </c>
      <c r="AJ30" s="2" t="s">
        <v>3104</v>
      </c>
      <c r="AK30" s="2" t="s">
        <v>121</v>
      </c>
      <c r="AL30" s="2" t="s">
        <v>3027</v>
      </c>
      <c r="AM30" s="68">
        <v>43809</v>
      </c>
      <c r="AN30" s="2" t="s">
        <v>122</v>
      </c>
      <c r="AO30" s="2" t="s">
        <v>109</v>
      </c>
      <c r="AP30" s="109" t="s">
        <v>109</v>
      </c>
      <c r="AQ30" s="2" t="b">
        <v>0</v>
      </c>
      <c r="AR30" s="2" t="s">
        <v>109</v>
      </c>
      <c r="AS30" s="2" t="s">
        <v>109</v>
      </c>
      <c r="AT30" s="2" t="s">
        <v>118</v>
      </c>
      <c r="AU30" s="2" t="b">
        <v>0</v>
      </c>
      <c r="AV30" s="2" t="s">
        <v>109</v>
      </c>
      <c r="AW30" s="2" t="s">
        <v>109</v>
      </c>
      <c r="AY30" s="2" t="s">
        <v>109</v>
      </c>
      <c r="AZ30" s="2" t="s">
        <v>109</v>
      </c>
      <c r="BA30" s="2" t="s">
        <v>109</v>
      </c>
      <c r="BB30" s="2" t="s">
        <v>109</v>
      </c>
      <c r="BC30" s="7" t="s">
        <v>135</v>
      </c>
      <c r="BD30" s="76" t="s">
        <v>109</v>
      </c>
      <c r="BE30" s="7" t="s">
        <v>109</v>
      </c>
      <c r="BF30" s="2" t="s">
        <v>109</v>
      </c>
      <c r="BG30" s="2" t="s">
        <v>126</v>
      </c>
      <c r="BH30" s="2" t="s">
        <v>109</v>
      </c>
      <c r="BI30" s="68">
        <v>43955</v>
      </c>
      <c r="BJ30" s="68">
        <v>44196</v>
      </c>
      <c r="BK30" s="68">
        <v>45244</v>
      </c>
      <c r="BL30" s="98" t="s">
        <v>109</v>
      </c>
      <c r="BM30" s="98" t="s">
        <v>109</v>
      </c>
      <c r="BN30" s="2" t="b">
        <v>1</v>
      </c>
      <c r="BO30" s="85" t="s">
        <v>109</v>
      </c>
      <c r="BP30" s="2" t="s">
        <v>128</v>
      </c>
      <c r="CF30" s="2" t="s">
        <v>2295</v>
      </c>
      <c r="CS30" s="142" t="s">
        <v>3127</v>
      </c>
      <c r="CU30" s="132" t="s">
        <v>3028</v>
      </c>
      <c r="CW30" s="2" t="s">
        <v>3043</v>
      </c>
      <c r="CX30" s="38"/>
    </row>
    <row r="31" spans="1:102" ht="39.6" x14ac:dyDescent="0.3">
      <c r="A31" s="4">
        <v>30</v>
      </c>
      <c r="B31" s="44" t="s">
        <v>346</v>
      </c>
      <c r="C31" s="53">
        <v>32.911000000000001</v>
      </c>
      <c r="D31" s="53">
        <v>-117.113</v>
      </c>
      <c r="E31" s="4" t="s">
        <v>329</v>
      </c>
      <c r="F31" s="46" t="s">
        <v>347</v>
      </c>
      <c r="G31" s="64" t="s">
        <v>348</v>
      </c>
      <c r="H31" s="64" t="s">
        <v>146</v>
      </c>
      <c r="I31" s="64" t="s">
        <v>146</v>
      </c>
      <c r="J31" s="64" t="s">
        <v>109</v>
      </c>
      <c r="K31" s="64" t="s">
        <v>250</v>
      </c>
      <c r="L31" s="64" t="s">
        <v>251</v>
      </c>
      <c r="M31" s="64" t="s">
        <v>109</v>
      </c>
      <c r="N31" s="64" t="s">
        <v>109</v>
      </c>
      <c r="O31" s="69">
        <v>45568</v>
      </c>
      <c r="Q31" s="64" t="s">
        <v>109</v>
      </c>
      <c r="R31" s="64" t="s">
        <v>109</v>
      </c>
      <c r="S31" s="64" t="s">
        <v>109</v>
      </c>
      <c r="T31" s="64" t="s">
        <v>109</v>
      </c>
      <c r="U31" s="4" t="s">
        <v>116</v>
      </c>
      <c r="V31" s="4" t="s">
        <v>3022</v>
      </c>
      <c r="W31" s="4" t="b">
        <v>0</v>
      </c>
      <c r="X31" s="4" t="s">
        <v>109</v>
      </c>
      <c r="Y31" s="4" t="s">
        <v>3128</v>
      </c>
      <c r="AA31" s="4" t="s">
        <v>109</v>
      </c>
      <c r="AB31" s="4">
        <v>1.1000000000000001</v>
      </c>
      <c r="AC31" s="4">
        <v>69</v>
      </c>
      <c r="AD31" s="4" t="s">
        <v>148</v>
      </c>
      <c r="AE31" s="4">
        <v>4.0999999999999996</v>
      </c>
      <c r="AF31" s="4" t="s">
        <v>3129</v>
      </c>
      <c r="AG31" s="5" t="s">
        <v>3103</v>
      </c>
      <c r="AH31" s="5" t="s">
        <v>3130</v>
      </c>
      <c r="AI31" s="4">
        <v>1</v>
      </c>
      <c r="AJ31" s="4" t="s">
        <v>3104</v>
      </c>
      <c r="AK31" s="4" t="s">
        <v>121</v>
      </c>
      <c r="AL31" s="4" t="s">
        <v>3027</v>
      </c>
      <c r="AM31" s="69">
        <v>44036</v>
      </c>
      <c r="AN31" s="4" t="s">
        <v>122</v>
      </c>
      <c r="AO31" s="4" t="s">
        <v>109</v>
      </c>
      <c r="AP31" s="217" t="s">
        <v>109</v>
      </c>
      <c r="AQ31" s="4" t="b">
        <v>0</v>
      </c>
      <c r="AR31" s="4" t="s">
        <v>109</v>
      </c>
      <c r="AS31" s="4" t="s">
        <v>109</v>
      </c>
      <c r="AT31" s="4" t="s">
        <v>118</v>
      </c>
      <c r="AU31" s="4" t="b">
        <v>0</v>
      </c>
      <c r="AV31" s="4" t="s">
        <v>109</v>
      </c>
      <c r="AW31" s="4" t="s">
        <v>109</v>
      </c>
      <c r="AY31" s="4" t="s">
        <v>109</v>
      </c>
      <c r="AZ31" s="4" t="s">
        <v>109</v>
      </c>
      <c r="BA31" s="4" t="s">
        <v>109</v>
      </c>
      <c r="BB31" s="4" t="s">
        <v>109</v>
      </c>
      <c r="BC31" s="4" t="s">
        <v>135</v>
      </c>
      <c r="BD31" s="4" t="s">
        <v>109</v>
      </c>
      <c r="BE31" s="4" t="s">
        <v>109</v>
      </c>
      <c r="BF31" s="4" t="s">
        <v>109</v>
      </c>
      <c r="BG31" s="4" t="s">
        <v>126</v>
      </c>
      <c r="BH31" s="4" t="s">
        <v>109</v>
      </c>
      <c r="BI31" s="69">
        <v>44571</v>
      </c>
      <c r="BJ31" s="69">
        <v>44196</v>
      </c>
      <c r="BK31" s="69">
        <v>45030</v>
      </c>
      <c r="BL31" s="97" t="s">
        <v>109</v>
      </c>
      <c r="BM31" s="97" t="s">
        <v>109</v>
      </c>
      <c r="BN31" s="4" t="b">
        <v>1</v>
      </c>
      <c r="BO31" s="130" t="s">
        <v>109</v>
      </c>
      <c r="BP31" s="4" t="s">
        <v>128</v>
      </c>
      <c r="CF31" s="4" t="s">
        <v>174</v>
      </c>
      <c r="CS31" s="143" t="s">
        <v>3131</v>
      </c>
      <c r="CU31" s="216" t="s">
        <v>3028</v>
      </c>
      <c r="CW31" s="4" t="s">
        <v>3132</v>
      </c>
      <c r="CX31" s="39"/>
    </row>
    <row r="32" spans="1:102" ht="26.4" x14ac:dyDescent="0.3">
      <c r="A32" s="2">
        <v>31</v>
      </c>
      <c r="B32" s="43" t="s">
        <v>352</v>
      </c>
      <c r="C32" s="51">
        <v>33.206000000000003</v>
      </c>
      <c r="D32" s="51">
        <v>-117.253</v>
      </c>
      <c r="E32" s="2" t="s">
        <v>353</v>
      </c>
      <c r="F32" s="47" t="s">
        <v>354</v>
      </c>
      <c r="G32" s="67" t="s">
        <v>355</v>
      </c>
      <c r="H32" s="2" t="s">
        <v>109</v>
      </c>
      <c r="I32" s="2" t="s">
        <v>109</v>
      </c>
      <c r="J32" s="2" t="s">
        <v>109</v>
      </c>
      <c r="K32" s="2" t="s">
        <v>356</v>
      </c>
      <c r="L32" s="2" t="s">
        <v>357</v>
      </c>
      <c r="M32" s="2" t="s">
        <v>109</v>
      </c>
      <c r="N32" s="2" t="s">
        <v>109</v>
      </c>
      <c r="O32" s="68">
        <v>45581</v>
      </c>
      <c r="Q32" s="2" t="s">
        <v>109</v>
      </c>
      <c r="R32" s="2" t="s">
        <v>109</v>
      </c>
      <c r="S32" s="2" t="s">
        <v>109</v>
      </c>
      <c r="T32" s="2" t="s">
        <v>109</v>
      </c>
      <c r="U32" s="2" t="s">
        <v>116</v>
      </c>
      <c r="V32" s="2" t="s">
        <v>3022</v>
      </c>
      <c r="W32" s="2" t="b">
        <v>0</v>
      </c>
      <c r="X32" s="2" t="s">
        <v>109</v>
      </c>
      <c r="Y32" s="2" t="s">
        <v>107</v>
      </c>
      <c r="AA32" s="2" t="s">
        <v>109</v>
      </c>
      <c r="AB32" s="2">
        <v>1.1299999999999999</v>
      </c>
      <c r="AC32" s="2">
        <v>69</v>
      </c>
      <c r="AD32" s="2" t="s">
        <v>148</v>
      </c>
      <c r="AE32" s="2">
        <v>4.0999999999999996</v>
      </c>
      <c r="AF32" s="2" t="s">
        <v>3133</v>
      </c>
      <c r="AG32" s="3" t="s">
        <v>3103</v>
      </c>
      <c r="AH32" s="3" t="s">
        <v>3134</v>
      </c>
      <c r="AI32" s="2">
        <v>1</v>
      </c>
      <c r="AJ32" s="2" t="s">
        <v>3104</v>
      </c>
      <c r="AK32" s="2" t="s">
        <v>121</v>
      </c>
      <c r="AL32" s="2" t="s">
        <v>3027</v>
      </c>
      <c r="AM32" s="68">
        <v>42849</v>
      </c>
      <c r="AN32" s="2" t="s">
        <v>122</v>
      </c>
      <c r="AO32" s="2" t="s">
        <v>109</v>
      </c>
      <c r="AP32" s="109" t="s">
        <v>109</v>
      </c>
      <c r="AQ32" s="2" t="b">
        <v>0</v>
      </c>
      <c r="AR32" s="2" t="s">
        <v>109</v>
      </c>
      <c r="AS32" s="2" t="s">
        <v>109</v>
      </c>
      <c r="AT32" s="2" t="s">
        <v>118</v>
      </c>
      <c r="AU32" s="2" t="b">
        <v>0</v>
      </c>
      <c r="AV32" s="2" t="s">
        <v>109</v>
      </c>
      <c r="AW32" s="2" t="s">
        <v>109</v>
      </c>
      <c r="AY32" s="2" t="s">
        <v>109</v>
      </c>
      <c r="AZ32" s="2" t="s">
        <v>109</v>
      </c>
      <c r="BA32" s="2" t="s">
        <v>109</v>
      </c>
      <c r="BB32" s="2" t="s">
        <v>109</v>
      </c>
      <c r="BC32" s="2" t="s">
        <v>135</v>
      </c>
      <c r="BD32" s="2" t="s">
        <v>109</v>
      </c>
      <c r="BE32" s="2" t="s">
        <v>109</v>
      </c>
      <c r="BF32" s="2" t="s">
        <v>109</v>
      </c>
      <c r="BG32" s="2" t="s">
        <v>126</v>
      </c>
      <c r="BH32" s="2" t="s">
        <v>109</v>
      </c>
      <c r="BI32" s="68">
        <v>42996</v>
      </c>
      <c r="BJ32" s="68">
        <v>43435</v>
      </c>
      <c r="BK32" s="68">
        <v>43285</v>
      </c>
      <c r="BL32" s="98" t="s">
        <v>109</v>
      </c>
      <c r="BM32" s="2" t="s">
        <v>109</v>
      </c>
      <c r="BN32" s="98" t="b">
        <v>0</v>
      </c>
      <c r="BO32" s="85" t="s">
        <v>109</v>
      </c>
      <c r="BP32" s="2" t="s">
        <v>128</v>
      </c>
      <c r="CF32" s="2" t="s">
        <v>189</v>
      </c>
      <c r="CS32" s="142" t="s">
        <v>3135</v>
      </c>
      <c r="CU32" s="132" t="s">
        <v>3028</v>
      </c>
      <c r="CW32" s="2" t="s">
        <v>3136</v>
      </c>
      <c r="CX32" s="38"/>
    </row>
    <row r="33" spans="1:102" ht="39.6" x14ac:dyDescent="0.3">
      <c r="A33" s="4">
        <v>32</v>
      </c>
      <c r="B33" s="44" t="s">
        <v>363</v>
      </c>
      <c r="C33" s="53">
        <v>32.784999999999997</v>
      </c>
      <c r="D33" s="53">
        <v>-117.13800000000001</v>
      </c>
      <c r="E33" s="4" t="s">
        <v>329</v>
      </c>
      <c r="F33" s="46" t="s">
        <v>364</v>
      </c>
      <c r="G33" s="64" t="s">
        <v>111</v>
      </c>
      <c r="H33" s="64" t="s">
        <v>275</v>
      </c>
      <c r="I33" s="64" t="s">
        <v>112</v>
      </c>
      <c r="J33" s="64" t="s">
        <v>109</v>
      </c>
      <c r="K33" s="64" t="s">
        <v>114</v>
      </c>
      <c r="L33" s="73" t="s">
        <v>365</v>
      </c>
      <c r="M33" s="64" t="s">
        <v>109</v>
      </c>
      <c r="N33" s="64" t="s">
        <v>109</v>
      </c>
      <c r="O33" s="69">
        <v>45541</v>
      </c>
      <c r="Q33" s="64" t="s">
        <v>109</v>
      </c>
      <c r="R33" s="64" t="s">
        <v>109</v>
      </c>
      <c r="S33" s="64" t="s">
        <v>109</v>
      </c>
      <c r="T33" s="64" t="s">
        <v>109</v>
      </c>
      <c r="U33" s="4" t="s">
        <v>116</v>
      </c>
      <c r="V33" s="4" t="s">
        <v>3022</v>
      </c>
      <c r="W33" s="4" t="b">
        <v>0</v>
      </c>
      <c r="X33" s="4" t="s">
        <v>109</v>
      </c>
      <c r="Y33" s="4" t="s">
        <v>3137</v>
      </c>
      <c r="AA33" s="4" t="s">
        <v>109</v>
      </c>
      <c r="AB33" s="4">
        <v>9</v>
      </c>
      <c r="AC33" s="4">
        <v>69</v>
      </c>
      <c r="AD33" s="4" t="s">
        <v>148</v>
      </c>
      <c r="AE33" s="4">
        <v>4.0999999999999996</v>
      </c>
      <c r="AF33" s="4" t="s">
        <v>3138</v>
      </c>
      <c r="AG33" s="5" t="s">
        <v>3103</v>
      </c>
      <c r="AH33" s="5" t="s">
        <v>3139</v>
      </c>
      <c r="AI33" s="4">
        <v>1</v>
      </c>
      <c r="AJ33" s="4" t="s">
        <v>3104</v>
      </c>
      <c r="AK33" s="4" t="s">
        <v>121</v>
      </c>
      <c r="AL33" s="4" t="s">
        <v>3027</v>
      </c>
      <c r="AM33" s="69">
        <v>42849</v>
      </c>
      <c r="AN33" s="4" t="s">
        <v>122</v>
      </c>
      <c r="AO33" s="4" t="s">
        <v>109</v>
      </c>
      <c r="AP33" s="217" t="s">
        <v>109</v>
      </c>
      <c r="AQ33" s="4" t="b">
        <v>0</v>
      </c>
      <c r="AR33" s="4" t="s">
        <v>109</v>
      </c>
      <c r="AS33" s="4" t="s">
        <v>109</v>
      </c>
      <c r="AT33" s="4" t="s">
        <v>118</v>
      </c>
      <c r="AU33" s="4" t="b">
        <v>0</v>
      </c>
      <c r="AV33" s="4" t="s">
        <v>109</v>
      </c>
      <c r="AW33" s="4" t="s">
        <v>109</v>
      </c>
      <c r="AY33" s="4" t="s">
        <v>109</v>
      </c>
      <c r="AZ33" s="4" t="s">
        <v>109</v>
      </c>
      <c r="BA33" s="4" t="s">
        <v>109</v>
      </c>
      <c r="BB33" s="4" t="s">
        <v>109</v>
      </c>
      <c r="BC33" s="4" t="s">
        <v>135</v>
      </c>
      <c r="BD33" s="4" t="s">
        <v>109</v>
      </c>
      <c r="BE33" s="4" t="s">
        <v>109</v>
      </c>
      <c r="BF33" s="4" t="s">
        <v>109</v>
      </c>
      <c r="BG33" s="4" t="s">
        <v>126</v>
      </c>
      <c r="BH33" s="4" t="s">
        <v>109</v>
      </c>
      <c r="BI33" s="69">
        <v>42941</v>
      </c>
      <c r="BJ33" s="69">
        <v>43830</v>
      </c>
      <c r="BK33" s="69">
        <v>44356</v>
      </c>
      <c r="BL33" s="97" t="s">
        <v>109</v>
      </c>
      <c r="BM33" s="97" t="s">
        <v>109</v>
      </c>
      <c r="BN33" s="97" t="b">
        <v>0</v>
      </c>
      <c r="BO33" s="130" t="s">
        <v>109</v>
      </c>
      <c r="BP33" s="4" t="s">
        <v>128</v>
      </c>
      <c r="CF33" s="4" t="s">
        <v>3106</v>
      </c>
      <c r="CS33" s="143" t="s">
        <v>3140</v>
      </c>
      <c r="CU33" s="216" t="s">
        <v>3028</v>
      </c>
      <c r="CW33" s="4" t="s">
        <v>3141</v>
      </c>
      <c r="CX33" s="39"/>
    </row>
    <row r="34" spans="1:102" x14ac:dyDescent="0.3">
      <c r="A34" s="2">
        <v>33</v>
      </c>
      <c r="B34" s="43" t="s">
        <v>369</v>
      </c>
      <c r="C34" s="51">
        <v>32.894277000000002</v>
      </c>
      <c r="D34" s="51" t="s">
        <v>370</v>
      </c>
      <c r="E34" s="2" t="s">
        <v>143</v>
      </c>
      <c r="F34" s="47" t="s">
        <v>371</v>
      </c>
      <c r="G34" s="67" t="s">
        <v>166</v>
      </c>
      <c r="H34" s="67" t="s">
        <v>146</v>
      </c>
      <c r="I34" s="67" t="s">
        <v>113</v>
      </c>
      <c r="J34" s="67" t="s">
        <v>109</v>
      </c>
      <c r="K34" s="2" t="s">
        <v>114</v>
      </c>
      <c r="L34" s="67" t="s">
        <v>115</v>
      </c>
      <c r="M34" s="67" t="s">
        <v>109</v>
      </c>
      <c r="N34" s="67" t="s">
        <v>109</v>
      </c>
      <c r="O34" s="68">
        <v>45567</v>
      </c>
      <c r="Q34" s="67" t="s">
        <v>372</v>
      </c>
      <c r="R34" s="67" t="s">
        <v>109</v>
      </c>
      <c r="S34" s="67" t="s">
        <v>109</v>
      </c>
      <c r="T34" s="67" t="s">
        <v>109</v>
      </c>
      <c r="U34" s="2" t="s">
        <v>116</v>
      </c>
      <c r="V34" s="2" t="s">
        <v>3022</v>
      </c>
      <c r="W34" s="2" t="b">
        <v>0</v>
      </c>
      <c r="X34" s="2" t="s">
        <v>109</v>
      </c>
      <c r="Y34" s="2" t="s">
        <v>107</v>
      </c>
      <c r="AA34" s="2" t="s">
        <v>109</v>
      </c>
      <c r="AB34" s="2">
        <v>0.76</v>
      </c>
      <c r="AC34" s="2">
        <v>69</v>
      </c>
      <c r="AD34" s="2" t="s">
        <v>373</v>
      </c>
      <c r="AE34" s="2">
        <v>4.0999999999999996</v>
      </c>
      <c r="AF34" s="2" t="s">
        <v>3142</v>
      </c>
      <c r="AG34" s="3" t="s">
        <v>3103</v>
      </c>
      <c r="AH34" s="3" t="s">
        <v>3143</v>
      </c>
      <c r="AI34" s="2">
        <v>1</v>
      </c>
      <c r="AJ34" s="2" t="s">
        <v>3104</v>
      </c>
      <c r="AK34" s="2" t="s">
        <v>121</v>
      </c>
      <c r="AL34" s="2" t="s">
        <v>3027</v>
      </c>
      <c r="AM34" s="68">
        <v>43081</v>
      </c>
      <c r="AN34" s="2" t="s">
        <v>122</v>
      </c>
      <c r="AO34" s="2" t="s">
        <v>109</v>
      </c>
      <c r="AP34" s="109" t="s">
        <v>109</v>
      </c>
      <c r="AQ34" s="2" t="b">
        <v>0</v>
      </c>
      <c r="AR34" s="2" t="s">
        <v>109</v>
      </c>
      <c r="AS34" s="2" t="s">
        <v>109</v>
      </c>
      <c r="AT34" s="2" t="s">
        <v>118</v>
      </c>
      <c r="AU34" s="2" t="b">
        <v>0</v>
      </c>
      <c r="AV34" s="2" t="s">
        <v>109</v>
      </c>
      <c r="AW34" s="2" t="s">
        <v>109</v>
      </c>
      <c r="AY34" s="2" t="s">
        <v>109</v>
      </c>
      <c r="AZ34" s="2" t="s">
        <v>109</v>
      </c>
      <c r="BA34" s="2" t="s">
        <v>109</v>
      </c>
      <c r="BB34" s="2" t="s">
        <v>109</v>
      </c>
      <c r="BC34" s="2" t="s">
        <v>135</v>
      </c>
      <c r="BD34" s="68" t="s">
        <v>109</v>
      </c>
      <c r="BE34" s="7" t="s">
        <v>109</v>
      </c>
      <c r="BF34" s="2" t="s">
        <v>109</v>
      </c>
      <c r="BG34" s="2" t="s">
        <v>126</v>
      </c>
      <c r="BH34" s="2" t="s">
        <v>109</v>
      </c>
      <c r="BI34" s="68">
        <v>43516</v>
      </c>
      <c r="BJ34" s="68">
        <v>43435</v>
      </c>
      <c r="BK34" s="68">
        <v>43770</v>
      </c>
      <c r="BL34" s="98" t="s">
        <v>109</v>
      </c>
      <c r="BM34" s="98" t="s">
        <v>109</v>
      </c>
      <c r="BN34" s="98" t="b">
        <v>0</v>
      </c>
      <c r="BO34" s="85" t="s">
        <v>109</v>
      </c>
      <c r="BP34" s="2" t="s">
        <v>128</v>
      </c>
      <c r="CF34" s="2" t="s">
        <v>377</v>
      </c>
      <c r="CS34" s="145"/>
      <c r="CU34" s="132" t="s">
        <v>3028</v>
      </c>
      <c r="CW34" s="2" t="s">
        <v>3144</v>
      </c>
      <c r="CX34" s="38"/>
    </row>
    <row r="35" spans="1:102" ht="39.6" x14ac:dyDescent="0.3">
      <c r="A35" s="4">
        <v>34</v>
      </c>
      <c r="B35" s="44" t="s">
        <v>378</v>
      </c>
      <c r="C35" s="217" t="s">
        <v>379</v>
      </c>
      <c r="D35" s="53">
        <v>-115.71599999999999</v>
      </c>
      <c r="E35" s="4" t="s">
        <v>380</v>
      </c>
      <c r="F35" s="46" t="s">
        <v>381</v>
      </c>
      <c r="G35" s="64" t="s">
        <v>355</v>
      </c>
      <c r="H35" s="64" t="s">
        <v>146</v>
      </c>
      <c r="I35" s="64" t="s">
        <v>146</v>
      </c>
      <c r="J35" s="64" t="s">
        <v>109</v>
      </c>
      <c r="K35" s="64" t="s">
        <v>250</v>
      </c>
      <c r="L35" s="64" t="s">
        <v>251</v>
      </c>
      <c r="M35" s="64" t="s">
        <v>109</v>
      </c>
      <c r="N35" s="64" t="s">
        <v>109</v>
      </c>
      <c r="O35" s="69">
        <v>45595</v>
      </c>
      <c r="Q35" s="64" t="s">
        <v>109</v>
      </c>
      <c r="R35" s="64" t="s">
        <v>109</v>
      </c>
      <c r="S35" s="64" t="s">
        <v>109</v>
      </c>
      <c r="T35" s="64" t="s">
        <v>109</v>
      </c>
      <c r="U35" s="4" t="s">
        <v>116</v>
      </c>
      <c r="V35" s="4" t="s">
        <v>3022</v>
      </c>
      <c r="W35" s="4" t="b">
        <v>0</v>
      </c>
      <c r="X35" s="4" t="s">
        <v>109</v>
      </c>
      <c r="Y35" s="4" t="s">
        <v>3145</v>
      </c>
      <c r="AA35" s="4" t="s">
        <v>109</v>
      </c>
      <c r="AB35" s="4">
        <v>55.48</v>
      </c>
      <c r="AC35" s="4">
        <v>500</v>
      </c>
      <c r="AD35" s="4" t="s">
        <v>382</v>
      </c>
      <c r="AE35" s="4">
        <v>4.0999999999999996</v>
      </c>
      <c r="AF35" s="4" t="s">
        <v>3146</v>
      </c>
      <c r="AG35" s="5" t="s">
        <v>3103</v>
      </c>
      <c r="AH35" s="5" t="s">
        <v>3147</v>
      </c>
      <c r="AI35" s="4">
        <v>1</v>
      </c>
      <c r="AJ35" s="4" t="s">
        <v>3104</v>
      </c>
      <c r="AK35" s="4" t="s">
        <v>121</v>
      </c>
      <c r="AL35" s="4" t="s">
        <v>3027</v>
      </c>
      <c r="AM35" s="69">
        <v>43584</v>
      </c>
      <c r="AN35" s="4" t="s">
        <v>122</v>
      </c>
      <c r="AO35" s="4" t="s">
        <v>109</v>
      </c>
      <c r="AP35" s="217" t="s">
        <v>109</v>
      </c>
      <c r="AQ35" s="4" t="b">
        <v>0</v>
      </c>
      <c r="AR35" s="4" t="s">
        <v>109</v>
      </c>
      <c r="AS35" s="4" t="s">
        <v>109</v>
      </c>
      <c r="AT35" s="4" t="s">
        <v>118</v>
      </c>
      <c r="AU35" s="4" t="b">
        <v>0</v>
      </c>
      <c r="AV35" s="4" t="s">
        <v>109</v>
      </c>
      <c r="AW35" s="4" t="s">
        <v>109</v>
      </c>
      <c r="AY35" s="4" t="s">
        <v>109</v>
      </c>
      <c r="AZ35" s="4" t="s">
        <v>109</v>
      </c>
      <c r="BA35" s="4" t="s">
        <v>109</v>
      </c>
      <c r="BB35" s="4" t="s">
        <v>109</v>
      </c>
      <c r="BC35" s="4" t="s">
        <v>135</v>
      </c>
      <c r="BD35" s="4" t="s">
        <v>109</v>
      </c>
      <c r="BE35" s="4" t="s">
        <v>109</v>
      </c>
      <c r="BF35" s="4" t="s">
        <v>109</v>
      </c>
      <c r="BG35" s="4" t="s">
        <v>126</v>
      </c>
      <c r="BH35" s="4" t="s">
        <v>109</v>
      </c>
      <c r="BI35" s="69">
        <v>44221</v>
      </c>
      <c r="BJ35" s="69">
        <v>43830</v>
      </c>
      <c r="BK35" s="69">
        <v>45308</v>
      </c>
      <c r="BL35" s="97" t="s">
        <v>109</v>
      </c>
      <c r="BM35" s="97" t="s">
        <v>109</v>
      </c>
      <c r="BN35" s="4" t="b">
        <v>1</v>
      </c>
      <c r="BO35" s="130" t="s">
        <v>109</v>
      </c>
      <c r="BP35" s="4" t="s">
        <v>128</v>
      </c>
      <c r="CF35" s="4" t="s">
        <v>2295</v>
      </c>
      <c r="CS35" s="143" t="s">
        <v>3148</v>
      </c>
      <c r="CU35" s="216" t="s">
        <v>3028</v>
      </c>
      <c r="CW35" s="4" t="s">
        <v>3149</v>
      </c>
      <c r="CX35" s="39"/>
    </row>
    <row r="36" spans="1:102" ht="79.2" x14ac:dyDescent="0.3">
      <c r="A36" s="2">
        <v>35</v>
      </c>
      <c r="B36" s="43" t="s">
        <v>387</v>
      </c>
      <c r="C36" s="51">
        <v>33.206000000000003</v>
      </c>
      <c r="D36" s="51">
        <v>-117.253</v>
      </c>
      <c r="E36" s="2" t="s">
        <v>353</v>
      </c>
      <c r="F36" s="47" t="s">
        <v>388</v>
      </c>
      <c r="G36" s="67" t="s">
        <v>186</v>
      </c>
      <c r="H36" s="67" t="s">
        <v>113</v>
      </c>
      <c r="I36" s="67" t="s">
        <v>113</v>
      </c>
      <c r="J36" s="67" t="s">
        <v>109</v>
      </c>
      <c r="K36" s="7" t="s">
        <v>2918</v>
      </c>
      <c r="L36" s="67" t="s">
        <v>188</v>
      </c>
      <c r="M36" s="67" t="s">
        <v>109</v>
      </c>
      <c r="N36" s="67" t="s">
        <v>109</v>
      </c>
      <c r="O36" s="68">
        <v>45581</v>
      </c>
      <c r="Q36" s="67" t="s">
        <v>109</v>
      </c>
      <c r="R36" s="67" t="s">
        <v>109</v>
      </c>
      <c r="S36" s="67" t="s">
        <v>109</v>
      </c>
      <c r="T36" s="67" t="s">
        <v>109</v>
      </c>
      <c r="U36" s="2" t="s">
        <v>116</v>
      </c>
      <c r="V36" s="2" t="s">
        <v>3022</v>
      </c>
      <c r="W36" s="2" t="b">
        <v>0</v>
      </c>
      <c r="X36" s="2" t="s">
        <v>109</v>
      </c>
      <c r="Y36" s="2" t="s">
        <v>3150</v>
      </c>
      <c r="AA36" s="2" t="s">
        <v>109</v>
      </c>
      <c r="AB36" s="2">
        <v>1.2</v>
      </c>
      <c r="AC36" s="2" t="s">
        <v>109</v>
      </c>
      <c r="AD36" s="2" t="s">
        <v>109</v>
      </c>
      <c r="AE36" s="2">
        <v>4.0999999999999996</v>
      </c>
      <c r="AF36" s="2" t="s">
        <v>3030</v>
      </c>
      <c r="AG36" s="3" t="s">
        <v>3103</v>
      </c>
      <c r="AH36" s="3" t="s">
        <v>3151</v>
      </c>
      <c r="AI36" s="2">
        <v>1</v>
      </c>
      <c r="AJ36" s="2" t="s">
        <v>3104</v>
      </c>
      <c r="AK36" s="2" t="s">
        <v>121</v>
      </c>
      <c r="AL36" s="2" t="s">
        <v>3027</v>
      </c>
      <c r="AM36" s="68">
        <v>43809</v>
      </c>
      <c r="AN36" s="2" t="s">
        <v>122</v>
      </c>
      <c r="AO36" s="2" t="s">
        <v>109</v>
      </c>
      <c r="AP36" s="109" t="s">
        <v>109</v>
      </c>
      <c r="AQ36" s="2" t="b">
        <v>0</v>
      </c>
      <c r="AR36" s="2" t="s">
        <v>109</v>
      </c>
      <c r="AS36" s="2" t="s">
        <v>109</v>
      </c>
      <c r="AT36" s="2" t="s">
        <v>118</v>
      </c>
      <c r="AU36" s="2" t="b">
        <v>0</v>
      </c>
      <c r="AV36" s="2" t="s">
        <v>109</v>
      </c>
      <c r="AW36" s="2" t="s">
        <v>109</v>
      </c>
      <c r="AY36" s="2" t="s">
        <v>109</v>
      </c>
      <c r="AZ36" s="2" t="s">
        <v>109</v>
      </c>
      <c r="BA36" s="2" t="s">
        <v>109</v>
      </c>
      <c r="BB36" s="2" t="s">
        <v>109</v>
      </c>
      <c r="BC36" s="2" t="s">
        <v>135</v>
      </c>
      <c r="BD36" s="68" t="s">
        <v>109</v>
      </c>
      <c r="BE36" s="7" t="s">
        <v>109</v>
      </c>
      <c r="BF36" s="2" t="s">
        <v>109</v>
      </c>
      <c r="BG36" s="2" t="s">
        <v>126</v>
      </c>
      <c r="BH36" s="2" t="s">
        <v>109</v>
      </c>
      <c r="BI36" s="68">
        <v>43600</v>
      </c>
      <c r="BJ36" s="68">
        <v>43830</v>
      </c>
      <c r="BK36" s="68" t="s">
        <v>109</v>
      </c>
      <c r="BL36" s="98" t="s">
        <v>109</v>
      </c>
      <c r="BM36" s="98" t="s">
        <v>109</v>
      </c>
      <c r="BN36" s="98" t="b">
        <v>0</v>
      </c>
      <c r="BO36" s="85" t="s">
        <v>109</v>
      </c>
      <c r="BP36" s="2" t="s">
        <v>128</v>
      </c>
      <c r="CF36" s="2" t="s">
        <v>3039</v>
      </c>
      <c r="CS36" s="142" t="s">
        <v>3152</v>
      </c>
      <c r="CU36" s="132" t="s">
        <v>3028</v>
      </c>
      <c r="CW36" s="2" t="s">
        <v>3136</v>
      </c>
      <c r="CX36" s="41"/>
    </row>
    <row r="37" spans="1:102" ht="26.4" x14ac:dyDescent="0.3">
      <c r="A37" s="4">
        <v>36</v>
      </c>
      <c r="B37" s="44" t="s">
        <v>391</v>
      </c>
      <c r="C37" s="53">
        <v>32.917999999999999</v>
      </c>
      <c r="D37" s="53">
        <v>-117.21899999999999</v>
      </c>
      <c r="E37" s="4" t="s">
        <v>329</v>
      </c>
      <c r="F37" s="46" t="s">
        <v>392</v>
      </c>
      <c r="G37" s="64" t="s">
        <v>166</v>
      </c>
      <c r="H37" s="64" t="s">
        <v>146</v>
      </c>
      <c r="I37" s="64" t="s">
        <v>113</v>
      </c>
      <c r="J37" s="64" t="s">
        <v>109</v>
      </c>
      <c r="K37" s="64" t="s">
        <v>114</v>
      </c>
      <c r="L37" s="64" t="s">
        <v>393</v>
      </c>
      <c r="M37" s="64" t="s">
        <v>109</v>
      </c>
      <c r="N37" s="64" t="s">
        <v>109</v>
      </c>
      <c r="O37" s="69">
        <v>45574</v>
      </c>
      <c r="Q37" s="64" t="s">
        <v>394</v>
      </c>
      <c r="R37" s="64" t="s">
        <v>109</v>
      </c>
      <c r="S37" s="64" t="s">
        <v>109</v>
      </c>
      <c r="T37" s="64" t="s">
        <v>109</v>
      </c>
      <c r="U37" s="4" t="s">
        <v>116</v>
      </c>
      <c r="V37" s="4" t="s">
        <v>3022</v>
      </c>
      <c r="W37" s="4" t="b">
        <v>0</v>
      </c>
      <c r="X37" s="4" t="s">
        <v>109</v>
      </c>
      <c r="Y37" s="4" t="s">
        <v>3128</v>
      </c>
      <c r="AA37" s="4" t="s">
        <v>109</v>
      </c>
      <c r="AB37" s="4">
        <v>13.94</v>
      </c>
      <c r="AC37" s="4">
        <v>138</v>
      </c>
      <c r="AD37" s="4" t="s">
        <v>395</v>
      </c>
      <c r="AE37" s="4">
        <v>4.0999999999999996</v>
      </c>
      <c r="AF37" s="4" t="s">
        <v>3153</v>
      </c>
      <c r="AG37" s="5" t="s">
        <v>3103</v>
      </c>
      <c r="AH37" s="5" t="s">
        <v>3154</v>
      </c>
      <c r="AI37" s="4">
        <v>1</v>
      </c>
      <c r="AJ37" s="4" t="s">
        <v>3104</v>
      </c>
      <c r="AK37" s="4" t="s">
        <v>121</v>
      </c>
      <c r="AL37" s="4" t="s">
        <v>3027</v>
      </c>
      <c r="AM37" s="69">
        <v>43593</v>
      </c>
      <c r="AN37" s="4" t="s">
        <v>122</v>
      </c>
      <c r="AO37" s="4" t="s">
        <v>109</v>
      </c>
      <c r="AP37" s="217" t="s">
        <v>109</v>
      </c>
      <c r="AQ37" s="4" t="b">
        <v>0</v>
      </c>
      <c r="AR37" s="4" t="s">
        <v>109</v>
      </c>
      <c r="AS37" s="4" t="s">
        <v>109</v>
      </c>
      <c r="AT37" s="4" t="s">
        <v>118</v>
      </c>
      <c r="AU37" s="4" t="b">
        <v>0</v>
      </c>
      <c r="AV37" s="4" t="s">
        <v>109</v>
      </c>
      <c r="AW37" s="4" t="s">
        <v>109</v>
      </c>
      <c r="AY37" s="4" t="s">
        <v>109</v>
      </c>
      <c r="AZ37" s="4" t="s">
        <v>109</v>
      </c>
      <c r="BA37" s="4" t="s">
        <v>109</v>
      </c>
      <c r="BB37" s="4" t="s">
        <v>109</v>
      </c>
      <c r="BC37" s="4" t="s">
        <v>135</v>
      </c>
      <c r="BD37" s="4" t="s">
        <v>109</v>
      </c>
      <c r="BE37" s="4" t="s">
        <v>109</v>
      </c>
      <c r="BF37" s="4" t="s">
        <v>109</v>
      </c>
      <c r="BG37" s="4" t="s">
        <v>397</v>
      </c>
      <c r="BH37" s="4" t="s">
        <v>109</v>
      </c>
      <c r="BI37" s="69">
        <v>45905</v>
      </c>
      <c r="BJ37" s="69">
        <v>44196</v>
      </c>
      <c r="BK37" s="69">
        <v>46575</v>
      </c>
      <c r="BL37" s="97" t="s">
        <v>246</v>
      </c>
      <c r="BM37" s="97" t="s">
        <v>109</v>
      </c>
      <c r="BN37" s="97" t="b">
        <v>0</v>
      </c>
      <c r="BO37" s="130" t="s">
        <v>109</v>
      </c>
      <c r="BP37" s="4" t="s">
        <v>128</v>
      </c>
      <c r="CF37" s="4" t="s">
        <v>109</v>
      </c>
      <c r="CS37" s="147" t="s">
        <v>400</v>
      </c>
      <c r="CU37" s="216" t="s">
        <v>3028</v>
      </c>
      <c r="CW37" s="4" t="s">
        <v>3119</v>
      </c>
      <c r="CX37" s="40"/>
    </row>
    <row r="38" spans="1:102" x14ac:dyDescent="0.3">
      <c r="A38" s="2">
        <v>37</v>
      </c>
      <c r="B38" s="43" t="s">
        <v>401</v>
      </c>
      <c r="C38" s="51">
        <v>32.561999999999998</v>
      </c>
      <c r="D38" s="51">
        <v>-117.027</v>
      </c>
      <c r="E38" s="2" t="s">
        <v>329</v>
      </c>
      <c r="F38" s="47" t="s">
        <v>402</v>
      </c>
      <c r="G38" s="67" t="s">
        <v>166</v>
      </c>
      <c r="H38" s="67" t="s">
        <v>146</v>
      </c>
      <c r="I38" s="67" t="s">
        <v>113</v>
      </c>
      <c r="J38" s="67" t="s">
        <v>109</v>
      </c>
      <c r="K38" s="67" t="s">
        <v>114</v>
      </c>
      <c r="L38" s="67" t="s">
        <v>393</v>
      </c>
      <c r="M38" s="67" t="s">
        <v>109</v>
      </c>
      <c r="N38" s="67" t="s">
        <v>109</v>
      </c>
      <c r="O38" s="68">
        <v>45590</v>
      </c>
      <c r="Q38" s="67" t="s">
        <v>403</v>
      </c>
      <c r="R38" s="67" t="s">
        <v>109</v>
      </c>
      <c r="S38" s="67" t="s">
        <v>109</v>
      </c>
      <c r="T38" s="67" t="s">
        <v>109</v>
      </c>
      <c r="U38" s="2" t="s">
        <v>404</v>
      </c>
      <c r="V38" s="2" t="s">
        <v>3022</v>
      </c>
      <c r="W38" s="2" t="b">
        <v>0</v>
      </c>
      <c r="X38" s="2" t="s">
        <v>109</v>
      </c>
      <c r="Y38" s="2" t="s">
        <v>3137</v>
      </c>
      <c r="AA38" s="2" t="s">
        <v>109</v>
      </c>
      <c r="AB38" s="2">
        <v>1.57</v>
      </c>
      <c r="AC38" s="2">
        <v>69</v>
      </c>
      <c r="AD38" s="2" t="s">
        <v>405</v>
      </c>
      <c r="AE38" s="2">
        <v>4.0999999999999996</v>
      </c>
      <c r="AF38" s="2" t="s">
        <v>3155</v>
      </c>
      <c r="AG38" s="3" t="s">
        <v>3103</v>
      </c>
      <c r="AH38" s="3" t="s">
        <v>3156</v>
      </c>
      <c r="AI38" s="2">
        <v>1</v>
      </c>
      <c r="AJ38" s="2" t="s">
        <v>3104</v>
      </c>
      <c r="AK38" s="2" t="s">
        <v>121</v>
      </c>
      <c r="AL38" s="2" t="s">
        <v>3027</v>
      </c>
      <c r="AM38" s="68">
        <v>43593</v>
      </c>
      <c r="AN38" s="2" t="s">
        <v>122</v>
      </c>
      <c r="AO38" s="2" t="s">
        <v>109</v>
      </c>
      <c r="AP38" s="109" t="s">
        <v>109</v>
      </c>
      <c r="AQ38" s="2" t="b">
        <v>0</v>
      </c>
      <c r="AR38" s="2" t="s">
        <v>109</v>
      </c>
      <c r="AS38" s="2" t="s">
        <v>109</v>
      </c>
      <c r="AT38" s="2" t="s">
        <v>118</v>
      </c>
      <c r="AU38" s="2" t="b">
        <v>0</v>
      </c>
      <c r="AV38" s="2" t="s">
        <v>109</v>
      </c>
      <c r="AW38" s="2" t="s">
        <v>109</v>
      </c>
      <c r="AY38" s="2" t="s">
        <v>109</v>
      </c>
      <c r="AZ38" s="2" t="s">
        <v>109</v>
      </c>
      <c r="BA38" s="2" t="s">
        <v>109</v>
      </c>
      <c r="BB38" s="2" t="s">
        <v>109</v>
      </c>
      <c r="BC38" s="2" t="s">
        <v>135</v>
      </c>
      <c r="BD38" s="2" t="s">
        <v>109</v>
      </c>
      <c r="BE38" s="2" t="s">
        <v>109</v>
      </c>
      <c r="BF38" s="2" t="s">
        <v>109</v>
      </c>
      <c r="BG38" s="2" t="s">
        <v>126</v>
      </c>
      <c r="BH38" s="2" t="s">
        <v>109</v>
      </c>
      <c r="BI38" s="68">
        <v>44410</v>
      </c>
      <c r="BJ38" s="68">
        <v>44196</v>
      </c>
      <c r="BK38" s="68">
        <v>44999</v>
      </c>
      <c r="BL38" s="98" t="s">
        <v>109</v>
      </c>
      <c r="BM38" s="98" t="s">
        <v>109</v>
      </c>
      <c r="BN38" s="2" t="b">
        <v>1</v>
      </c>
      <c r="BO38" s="85" t="s">
        <v>109</v>
      </c>
      <c r="BP38" s="2" t="s">
        <v>128</v>
      </c>
      <c r="CF38" s="2" t="s">
        <v>174</v>
      </c>
      <c r="CS38" s="145"/>
      <c r="CU38" s="132" t="s">
        <v>3028</v>
      </c>
      <c r="CW38" s="2" t="s">
        <v>3157</v>
      </c>
      <c r="CX38" s="38"/>
    </row>
    <row r="39" spans="1:102" ht="27" x14ac:dyDescent="0.3">
      <c r="A39" s="4">
        <v>38</v>
      </c>
      <c r="B39" s="44" t="s">
        <v>409</v>
      </c>
      <c r="C39" s="4">
        <v>-117.24</v>
      </c>
      <c r="D39" s="4">
        <v>32.899000000000001</v>
      </c>
      <c r="E39" s="4" t="s">
        <v>410</v>
      </c>
      <c r="F39" s="46" t="s">
        <v>411</v>
      </c>
      <c r="G39" s="64" t="s">
        <v>166</v>
      </c>
      <c r="H39" s="64" t="s">
        <v>146</v>
      </c>
      <c r="I39" s="64" t="s">
        <v>113</v>
      </c>
      <c r="J39" s="64" t="s">
        <v>109</v>
      </c>
      <c r="K39" s="64" t="s">
        <v>114</v>
      </c>
      <c r="L39" s="64" t="s">
        <v>393</v>
      </c>
      <c r="M39" s="64" t="s">
        <v>109</v>
      </c>
      <c r="N39" s="64" t="s">
        <v>109</v>
      </c>
      <c r="O39" s="69">
        <v>45562</v>
      </c>
      <c r="Q39" s="64" t="s">
        <v>412</v>
      </c>
      <c r="R39" s="64" t="s">
        <v>109</v>
      </c>
      <c r="S39" s="64" t="s">
        <v>109</v>
      </c>
      <c r="T39" s="64" t="s">
        <v>109</v>
      </c>
      <c r="U39" s="4" t="s">
        <v>116</v>
      </c>
      <c r="V39" s="4" t="s">
        <v>3158</v>
      </c>
      <c r="W39" s="4" t="b">
        <v>0</v>
      </c>
      <c r="X39" s="4" t="s">
        <v>123</v>
      </c>
      <c r="Y39" s="4" t="s">
        <v>107</v>
      </c>
      <c r="AA39" s="4" t="s">
        <v>109</v>
      </c>
      <c r="AB39" s="4">
        <v>0.79</v>
      </c>
      <c r="AC39" s="91" t="s">
        <v>413</v>
      </c>
      <c r="AD39" s="4" t="s">
        <v>414</v>
      </c>
      <c r="AE39" s="4">
        <v>4.0999999999999996</v>
      </c>
      <c r="AF39" s="4" t="s">
        <v>3159</v>
      </c>
      <c r="AG39" s="5" t="s">
        <v>3103</v>
      </c>
      <c r="AH39" s="5" t="s">
        <v>3160</v>
      </c>
      <c r="AI39" s="4">
        <v>1</v>
      </c>
      <c r="AJ39" s="4" t="s">
        <v>3104</v>
      </c>
      <c r="AK39" s="4" t="s">
        <v>121</v>
      </c>
      <c r="AL39" s="4" t="s">
        <v>3027</v>
      </c>
      <c r="AM39" s="69">
        <v>45209</v>
      </c>
      <c r="AN39" s="4" t="s">
        <v>122</v>
      </c>
      <c r="AO39" s="4">
        <v>2024</v>
      </c>
      <c r="AP39" s="217" t="s">
        <v>109</v>
      </c>
      <c r="AQ39" s="4" t="b">
        <v>0</v>
      </c>
      <c r="AR39" s="4" t="s">
        <v>109</v>
      </c>
      <c r="AS39" s="4" t="s">
        <v>109</v>
      </c>
      <c r="AT39" s="4" t="s">
        <v>109</v>
      </c>
      <c r="AU39" s="4" t="b">
        <v>0</v>
      </c>
      <c r="AV39" s="4" t="s">
        <v>123</v>
      </c>
      <c r="AW39" s="4" t="s">
        <v>118</v>
      </c>
      <c r="AY39" s="4" t="s">
        <v>109</v>
      </c>
      <c r="AZ39" s="4" t="s">
        <v>109</v>
      </c>
      <c r="BA39" s="4" t="s">
        <v>226</v>
      </c>
      <c r="BB39" s="4" t="s">
        <v>118</v>
      </c>
      <c r="BC39" s="4" t="s">
        <v>109</v>
      </c>
      <c r="BD39" s="4" t="s">
        <v>109</v>
      </c>
      <c r="BE39" s="4" t="s">
        <v>2892</v>
      </c>
      <c r="BF39" s="4" t="s">
        <v>109</v>
      </c>
      <c r="BG39" s="4" t="s">
        <v>1146</v>
      </c>
      <c r="BH39" s="4" t="s">
        <v>109</v>
      </c>
      <c r="BI39" s="69">
        <v>45488</v>
      </c>
      <c r="BJ39" s="69">
        <v>45688</v>
      </c>
      <c r="BK39" s="69">
        <v>45875</v>
      </c>
      <c r="BL39" s="97" t="s">
        <v>109</v>
      </c>
      <c r="BM39" s="4" t="s">
        <v>109</v>
      </c>
      <c r="BN39" s="4" t="b">
        <v>1</v>
      </c>
      <c r="BO39" s="130" t="s">
        <v>109</v>
      </c>
      <c r="BP39" s="4" t="s">
        <v>128</v>
      </c>
      <c r="CF39" s="4">
        <v>2025</v>
      </c>
      <c r="CS39" s="143" t="s">
        <v>419</v>
      </c>
      <c r="CU39" s="216" t="s">
        <v>3028</v>
      </c>
      <c r="CW39" s="4" t="s">
        <v>3161</v>
      </c>
      <c r="CX39" s="220" t="s">
        <v>3162</v>
      </c>
    </row>
    <row r="40" spans="1:102" ht="27" x14ac:dyDescent="0.3">
      <c r="A40" s="2">
        <v>39</v>
      </c>
      <c r="B40" s="43" t="s">
        <v>420</v>
      </c>
      <c r="C40" s="2">
        <v>33.093000000000004</v>
      </c>
      <c r="D40" s="2">
        <v>-117.07299999999999</v>
      </c>
      <c r="E40" s="2" t="s">
        <v>421</v>
      </c>
      <c r="F40" s="47" t="s">
        <v>422</v>
      </c>
      <c r="G40" s="67" t="s">
        <v>166</v>
      </c>
      <c r="H40" s="67" t="s">
        <v>113</v>
      </c>
      <c r="I40" s="67" t="s">
        <v>112</v>
      </c>
      <c r="J40" s="67" t="s">
        <v>109</v>
      </c>
      <c r="K40" s="67" t="s">
        <v>114</v>
      </c>
      <c r="L40" s="67" t="s">
        <v>251</v>
      </c>
      <c r="M40" s="67" t="s">
        <v>109</v>
      </c>
      <c r="N40" s="67" t="s">
        <v>109</v>
      </c>
      <c r="O40" s="68">
        <v>45569</v>
      </c>
      <c r="Q40" s="67" t="s">
        <v>423</v>
      </c>
      <c r="R40" s="67" t="s">
        <v>109</v>
      </c>
      <c r="S40" s="67" t="s">
        <v>109</v>
      </c>
      <c r="T40" s="67" t="s">
        <v>109</v>
      </c>
      <c r="U40" s="2" t="s">
        <v>116</v>
      </c>
      <c r="V40" s="2" t="s">
        <v>3158</v>
      </c>
      <c r="W40" s="2" t="b">
        <v>0</v>
      </c>
      <c r="X40" s="2" t="s">
        <v>123</v>
      </c>
      <c r="Y40" s="2" t="s">
        <v>3040</v>
      </c>
      <c r="AA40" s="2" t="s">
        <v>118</v>
      </c>
      <c r="AB40" s="2">
        <v>1.51</v>
      </c>
      <c r="AC40" s="90" t="s">
        <v>413</v>
      </c>
      <c r="AD40" s="2" t="s">
        <v>413</v>
      </c>
      <c r="AE40" s="2">
        <v>4.0999999999999996</v>
      </c>
      <c r="AF40" s="2" t="s">
        <v>3163</v>
      </c>
      <c r="AG40" s="3" t="s">
        <v>3103</v>
      </c>
      <c r="AH40" s="3" t="s">
        <v>3164</v>
      </c>
      <c r="AI40" s="2">
        <v>1</v>
      </c>
      <c r="AJ40" s="2" t="s">
        <v>3104</v>
      </c>
      <c r="AK40" s="2" t="s">
        <v>121</v>
      </c>
      <c r="AL40" s="2" t="s">
        <v>3027</v>
      </c>
      <c r="AM40" s="68">
        <v>43593</v>
      </c>
      <c r="AN40" s="2" t="s">
        <v>122</v>
      </c>
      <c r="AO40" s="2">
        <v>2020</v>
      </c>
      <c r="AP40" s="109" t="s">
        <v>109</v>
      </c>
      <c r="AQ40" s="2" t="b">
        <v>0</v>
      </c>
      <c r="AR40" s="2" t="s">
        <v>109</v>
      </c>
      <c r="AS40" s="2" t="s">
        <v>109</v>
      </c>
      <c r="AT40" s="2" t="s">
        <v>109</v>
      </c>
      <c r="AU40" s="2" t="b">
        <v>0</v>
      </c>
      <c r="AV40" s="2" t="s">
        <v>123</v>
      </c>
      <c r="AW40" s="2" t="s">
        <v>118</v>
      </c>
      <c r="AY40" s="2" t="s">
        <v>109</v>
      </c>
      <c r="AZ40" s="2" t="s">
        <v>109</v>
      </c>
      <c r="BA40" s="2" t="s">
        <v>226</v>
      </c>
      <c r="BB40" s="2" t="s">
        <v>118</v>
      </c>
      <c r="BC40" s="2" t="s">
        <v>135</v>
      </c>
      <c r="BD40" s="2" t="s">
        <v>109</v>
      </c>
      <c r="BE40" s="2" t="s">
        <v>2892</v>
      </c>
      <c r="BF40" s="2" t="s">
        <v>109</v>
      </c>
      <c r="BG40" s="2" t="s">
        <v>425</v>
      </c>
      <c r="BH40" s="2" t="s">
        <v>109</v>
      </c>
      <c r="BI40" s="68">
        <v>45918</v>
      </c>
      <c r="BJ40" s="68">
        <v>44196</v>
      </c>
      <c r="BK40" s="68">
        <v>46070</v>
      </c>
      <c r="BL40" s="98" t="s">
        <v>109</v>
      </c>
      <c r="BM40" s="2" t="s">
        <v>109</v>
      </c>
      <c r="BN40" s="2" t="b">
        <v>1</v>
      </c>
      <c r="BO40" s="85" t="s">
        <v>109</v>
      </c>
      <c r="BP40" s="2" t="s">
        <v>128</v>
      </c>
      <c r="CF40" s="2" t="s">
        <v>2295</v>
      </c>
      <c r="CS40" s="142" t="s">
        <v>428</v>
      </c>
      <c r="CU40" s="132" t="s">
        <v>3028</v>
      </c>
      <c r="CW40" s="2" t="s">
        <v>3165</v>
      </c>
      <c r="CX40" s="220" t="s">
        <v>3162</v>
      </c>
    </row>
    <row r="41" spans="1:102" ht="26.4" x14ac:dyDescent="0.3">
      <c r="A41" s="4">
        <v>40</v>
      </c>
      <c r="B41" s="44" t="s">
        <v>430</v>
      </c>
      <c r="C41" s="57" t="s">
        <v>109</v>
      </c>
      <c r="D41" s="4" t="s">
        <v>109</v>
      </c>
      <c r="E41" s="6" t="s">
        <v>109</v>
      </c>
      <c r="F41" s="46" t="s">
        <v>431</v>
      </c>
      <c r="G41" s="4" t="s">
        <v>111</v>
      </c>
      <c r="H41" s="4" t="s">
        <v>113</v>
      </c>
      <c r="I41" s="4" t="s">
        <v>109</v>
      </c>
      <c r="J41" s="4" t="s">
        <v>109</v>
      </c>
      <c r="K41" s="4" t="s">
        <v>114</v>
      </c>
      <c r="L41" s="4" t="s">
        <v>432</v>
      </c>
      <c r="M41" s="4" t="s">
        <v>194</v>
      </c>
      <c r="N41" s="4" t="s">
        <v>109</v>
      </c>
      <c r="O41" s="4" t="s">
        <v>109</v>
      </c>
      <c r="Q41" s="4" t="s">
        <v>109</v>
      </c>
      <c r="R41" s="4" t="s">
        <v>109</v>
      </c>
      <c r="S41" s="4" t="s">
        <v>109</v>
      </c>
      <c r="T41" s="4" t="s">
        <v>109</v>
      </c>
      <c r="U41" s="4" t="s">
        <v>116</v>
      </c>
      <c r="V41" s="4" t="s">
        <v>3022</v>
      </c>
      <c r="W41" s="4" t="b">
        <v>0</v>
      </c>
      <c r="X41" s="4" t="s">
        <v>109</v>
      </c>
      <c r="Y41" s="4" t="s">
        <v>429</v>
      </c>
      <c r="AA41" s="4" t="s">
        <v>118</v>
      </c>
      <c r="AB41" s="4" t="s">
        <v>118</v>
      </c>
      <c r="AC41" s="4" t="s">
        <v>433</v>
      </c>
      <c r="AD41" s="4" t="s">
        <v>434</v>
      </c>
      <c r="AE41" s="4">
        <v>2</v>
      </c>
      <c r="AF41" s="4" t="s">
        <v>3023</v>
      </c>
      <c r="AG41" s="5" t="s">
        <v>3166</v>
      </c>
      <c r="AH41" s="5" t="s">
        <v>3025</v>
      </c>
      <c r="AI41" s="4">
        <v>66</v>
      </c>
      <c r="AJ41" s="4" t="s">
        <v>3167</v>
      </c>
      <c r="AK41" s="4" t="s">
        <v>121</v>
      </c>
      <c r="AL41" s="4" t="s">
        <v>3027</v>
      </c>
      <c r="AM41" s="69">
        <v>45252</v>
      </c>
      <c r="AN41" s="4" t="s">
        <v>122</v>
      </c>
      <c r="AO41" s="4" t="s">
        <v>109</v>
      </c>
      <c r="AP41" s="217" t="s">
        <v>109</v>
      </c>
      <c r="AQ41" s="4" t="b">
        <v>0</v>
      </c>
      <c r="AR41" s="4" t="s">
        <v>109</v>
      </c>
      <c r="AS41" s="4" t="s">
        <v>109</v>
      </c>
      <c r="AT41" s="4" t="s">
        <v>118</v>
      </c>
      <c r="AU41" s="4" t="b">
        <v>0</v>
      </c>
      <c r="AV41" s="4" t="s">
        <v>109</v>
      </c>
      <c r="AW41" s="4" t="s">
        <v>118</v>
      </c>
      <c r="AY41" s="4" t="s">
        <v>109</v>
      </c>
      <c r="AZ41" s="4" t="s">
        <v>109</v>
      </c>
      <c r="BA41" s="4" t="s">
        <v>118</v>
      </c>
      <c r="BB41" s="4" t="s">
        <v>118</v>
      </c>
      <c r="BC41" s="4" t="s">
        <v>135</v>
      </c>
      <c r="BD41" s="69" t="s">
        <v>109</v>
      </c>
      <c r="BE41" s="6" t="s">
        <v>109</v>
      </c>
      <c r="BF41" s="4" t="s">
        <v>109</v>
      </c>
      <c r="BG41" s="4" t="s">
        <v>126</v>
      </c>
      <c r="BH41" s="4" t="s">
        <v>109</v>
      </c>
      <c r="BI41" s="69" t="s">
        <v>109</v>
      </c>
      <c r="BJ41" s="69">
        <v>45657</v>
      </c>
      <c r="BK41" s="69" t="s">
        <v>109</v>
      </c>
      <c r="BL41" s="97" t="s">
        <v>109</v>
      </c>
      <c r="BM41" s="4" t="s">
        <v>109</v>
      </c>
      <c r="BN41" s="4" t="b">
        <v>1</v>
      </c>
      <c r="BO41" s="130" t="s">
        <v>118</v>
      </c>
      <c r="BP41" s="4" t="s">
        <v>128</v>
      </c>
      <c r="CF41" s="4" t="s">
        <v>129</v>
      </c>
      <c r="CS41" s="143" t="s">
        <v>3168</v>
      </c>
      <c r="CU41" s="216" t="s">
        <v>3060</v>
      </c>
      <c r="CW41" s="4" t="s">
        <v>3029</v>
      </c>
      <c r="CX41" s="39"/>
    </row>
    <row r="42" spans="1:102" ht="39.6" x14ac:dyDescent="0.3">
      <c r="A42" s="2">
        <v>41</v>
      </c>
      <c r="B42" s="43" t="s">
        <v>437</v>
      </c>
      <c r="C42" s="51">
        <v>33.368901999999999</v>
      </c>
      <c r="D42" s="51">
        <v>-117.55288</v>
      </c>
      <c r="E42" s="2" t="s">
        <v>191</v>
      </c>
      <c r="F42" s="47" t="s">
        <v>438</v>
      </c>
      <c r="G42" s="67" t="s">
        <v>439</v>
      </c>
      <c r="H42" s="2" t="s">
        <v>113</v>
      </c>
      <c r="I42" s="2" t="s">
        <v>109</v>
      </c>
      <c r="J42" s="2" t="s">
        <v>109</v>
      </c>
      <c r="K42" s="2" t="s">
        <v>114</v>
      </c>
      <c r="L42" s="2" t="s">
        <v>432</v>
      </c>
      <c r="M42" s="2" t="s">
        <v>109</v>
      </c>
      <c r="N42" s="2" t="s">
        <v>109</v>
      </c>
      <c r="O42" s="68">
        <v>45595</v>
      </c>
      <c r="Q42" s="77">
        <v>2.85</v>
      </c>
      <c r="R42" s="2" t="s">
        <v>109</v>
      </c>
      <c r="S42" s="2" t="s">
        <v>109</v>
      </c>
      <c r="T42" s="2" t="s">
        <v>109</v>
      </c>
      <c r="U42" s="2" t="s">
        <v>116</v>
      </c>
      <c r="V42" s="2" t="s">
        <v>3022</v>
      </c>
      <c r="W42" s="2" t="b">
        <v>0</v>
      </c>
      <c r="X42" s="2" t="s">
        <v>109</v>
      </c>
      <c r="Y42" s="2" t="s">
        <v>429</v>
      </c>
      <c r="AA42" s="2" t="s">
        <v>109</v>
      </c>
      <c r="AB42" s="2" t="s">
        <v>109</v>
      </c>
      <c r="AC42" s="2">
        <v>230</v>
      </c>
      <c r="AD42" s="2" t="s">
        <v>109</v>
      </c>
      <c r="AE42" s="2">
        <v>2</v>
      </c>
      <c r="AF42" s="2" t="s">
        <v>3169</v>
      </c>
      <c r="AG42" s="3" t="s">
        <v>3166</v>
      </c>
      <c r="AH42" s="3" t="s">
        <v>3170</v>
      </c>
      <c r="AI42" s="2">
        <v>1</v>
      </c>
      <c r="AJ42" s="2" t="s">
        <v>3167</v>
      </c>
      <c r="AK42" s="2" t="s">
        <v>121</v>
      </c>
      <c r="AL42" s="2" t="s">
        <v>3027</v>
      </c>
      <c r="AM42" s="68">
        <v>44692</v>
      </c>
      <c r="AN42" s="2" t="s">
        <v>122</v>
      </c>
      <c r="AO42" s="2" t="s">
        <v>109</v>
      </c>
      <c r="AP42" s="109" t="s">
        <v>109</v>
      </c>
      <c r="AQ42" s="2" t="b">
        <v>0</v>
      </c>
      <c r="AR42" s="2" t="s">
        <v>109</v>
      </c>
      <c r="AS42" s="2" t="s">
        <v>109</v>
      </c>
      <c r="AT42" s="2" t="s">
        <v>109</v>
      </c>
      <c r="AU42" s="2" t="b">
        <v>0</v>
      </c>
      <c r="AV42" s="2" t="s">
        <v>109</v>
      </c>
      <c r="AW42" s="2" t="s">
        <v>118</v>
      </c>
      <c r="AY42" s="2" t="s">
        <v>109</v>
      </c>
      <c r="AZ42" s="2" t="s">
        <v>109</v>
      </c>
      <c r="BA42" s="2" t="s">
        <v>118</v>
      </c>
      <c r="BB42" s="2" t="s">
        <v>118</v>
      </c>
      <c r="BC42" s="2" t="s">
        <v>135</v>
      </c>
      <c r="BD42" s="68" t="s">
        <v>109</v>
      </c>
      <c r="BE42" s="7" t="s">
        <v>109</v>
      </c>
      <c r="BF42" s="2" t="s">
        <v>109</v>
      </c>
      <c r="BG42" s="2" t="s">
        <v>126</v>
      </c>
      <c r="BH42" s="2" t="s">
        <v>109</v>
      </c>
      <c r="BI42" s="76">
        <v>44991</v>
      </c>
      <c r="BJ42" s="68">
        <v>45141</v>
      </c>
      <c r="BK42" s="76">
        <v>45158</v>
      </c>
      <c r="BL42" s="98" t="s">
        <v>109</v>
      </c>
      <c r="BM42" s="2" t="s">
        <v>109</v>
      </c>
      <c r="BN42" s="2" t="b">
        <v>1</v>
      </c>
      <c r="BO42" s="85" t="s">
        <v>118</v>
      </c>
      <c r="BP42" s="2" t="s">
        <v>128</v>
      </c>
      <c r="CF42" s="2" t="s">
        <v>174</v>
      </c>
      <c r="CS42" s="142" t="s">
        <v>3171</v>
      </c>
      <c r="CU42" s="132" t="s">
        <v>3172</v>
      </c>
      <c r="CW42" s="2" t="s">
        <v>3173</v>
      </c>
      <c r="CX42" s="38"/>
    </row>
    <row r="43" spans="1:102" x14ac:dyDescent="0.3">
      <c r="A43" s="4">
        <v>42</v>
      </c>
      <c r="B43" s="44" t="s">
        <v>447</v>
      </c>
      <c r="C43" s="57" t="s">
        <v>109</v>
      </c>
      <c r="D43" s="4" t="s">
        <v>109</v>
      </c>
      <c r="E43" s="4" t="s">
        <v>191</v>
      </c>
      <c r="F43" s="46" t="s">
        <v>448</v>
      </c>
      <c r="G43" s="64" t="s">
        <v>439</v>
      </c>
      <c r="H43" s="4" t="s">
        <v>113</v>
      </c>
      <c r="I43" s="4" t="s">
        <v>109</v>
      </c>
      <c r="J43" s="4" t="s">
        <v>109</v>
      </c>
      <c r="K43" s="4" t="s">
        <v>114</v>
      </c>
      <c r="L43" s="4" t="s">
        <v>432</v>
      </c>
      <c r="M43" s="4" t="s">
        <v>109</v>
      </c>
      <c r="N43" s="4" t="s">
        <v>109</v>
      </c>
      <c r="O43" s="4" t="s">
        <v>109</v>
      </c>
      <c r="Q43" s="4" t="s">
        <v>109</v>
      </c>
      <c r="R43" s="4" t="s">
        <v>109</v>
      </c>
      <c r="S43" s="4" t="s">
        <v>109</v>
      </c>
      <c r="T43" s="4" t="s">
        <v>109</v>
      </c>
      <c r="U43" s="4" t="s">
        <v>116</v>
      </c>
      <c r="V43" s="4" t="s">
        <v>3022</v>
      </c>
      <c r="W43" s="4" t="b">
        <v>0</v>
      </c>
      <c r="X43" s="4" t="s">
        <v>109</v>
      </c>
      <c r="Y43" s="4" t="s">
        <v>429</v>
      </c>
      <c r="AA43" s="4" t="s">
        <v>109</v>
      </c>
      <c r="AB43" s="4" t="s">
        <v>109</v>
      </c>
      <c r="AC43" s="4">
        <v>69</v>
      </c>
      <c r="AD43" s="4" t="s">
        <v>109</v>
      </c>
      <c r="AE43" s="4">
        <v>2</v>
      </c>
      <c r="AF43" s="4" t="s">
        <v>3030</v>
      </c>
      <c r="AG43" s="5" t="s">
        <v>3166</v>
      </c>
      <c r="AH43" s="5" t="s">
        <v>3174</v>
      </c>
      <c r="AI43" s="4">
        <v>1</v>
      </c>
      <c r="AJ43" s="4" t="s">
        <v>3167</v>
      </c>
      <c r="AK43" s="4" t="s">
        <v>121</v>
      </c>
      <c r="AL43" s="4" t="s">
        <v>3027</v>
      </c>
      <c r="AM43" s="69">
        <v>44514</v>
      </c>
      <c r="AN43" s="4" t="s">
        <v>122</v>
      </c>
      <c r="AO43" s="4" t="s">
        <v>109</v>
      </c>
      <c r="AP43" s="217" t="s">
        <v>109</v>
      </c>
      <c r="AQ43" s="4" t="b">
        <v>0</v>
      </c>
      <c r="AR43" s="4" t="s">
        <v>109</v>
      </c>
      <c r="AS43" s="4" t="s">
        <v>109</v>
      </c>
      <c r="AT43" s="4" t="s">
        <v>109</v>
      </c>
      <c r="AU43" s="4" t="b">
        <v>0</v>
      </c>
      <c r="AV43" s="4" t="s">
        <v>109</v>
      </c>
      <c r="AW43" s="4" t="s">
        <v>118</v>
      </c>
      <c r="AY43" s="4" t="s">
        <v>109</v>
      </c>
      <c r="AZ43" s="4" t="s">
        <v>109</v>
      </c>
      <c r="BA43" s="4" t="s">
        <v>118</v>
      </c>
      <c r="BB43" s="4" t="s">
        <v>118</v>
      </c>
      <c r="BC43" s="4" t="s">
        <v>135</v>
      </c>
      <c r="BD43" s="69" t="s">
        <v>109</v>
      </c>
      <c r="BE43" s="6" t="s">
        <v>109</v>
      </c>
      <c r="BF43" s="4" t="s">
        <v>109</v>
      </c>
      <c r="BG43" s="4" t="s">
        <v>126</v>
      </c>
      <c r="BH43" s="4" t="s">
        <v>109</v>
      </c>
      <c r="BI43" s="69" t="s">
        <v>109</v>
      </c>
      <c r="BJ43" s="69">
        <v>45291</v>
      </c>
      <c r="BK43" s="5" t="s">
        <v>109</v>
      </c>
      <c r="BL43" s="97" t="s">
        <v>109</v>
      </c>
      <c r="BM43" s="4" t="s">
        <v>109</v>
      </c>
      <c r="BN43" s="4" t="b">
        <v>1</v>
      </c>
      <c r="BO43" s="130" t="s">
        <v>118</v>
      </c>
      <c r="BP43" s="4" t="s">
        <v>128</v>
      </c>
      <c r="CF43" s="4" t="s">
        <v>154</v>
      </c>
      <c r="CS43" s="143"/>
      <c r="CU43" s="216" t="s">
        <v>3060</v>
      </c>
      <c r="CW43" s="4" t="s">
        <v>3029</v>
      </c>
      <c r="CX43" s="39"/>
    </row>
    <row r="44" spans="1:102" x14ac:dyDescent="0.3">
      <c r="A44" s="2">
        <v>43</v>
      </c>
      <c r="B44" s="43" t="s">
        <v>450</v>
      </c>
      <c r="C44" s="52" t="s">
        <v>109</v>
      </c>
      <c r="D44" s="2" t="s">
        <v>109</v>
      </c>
      <c r="E44" s="2" t="s">
        <v>191</v>
      </c>
      <c r="F44" s="47" t="s">
        <v>451</v>
      </c>
      <c r="G44" s="67" t="s">
        <v>439</v>
      </c>
      <c r="H44" s="2" t="s">
        <v>113</v>
      </c>
      <c r="I44" s="2" t="s">
        <v>109</v>
      </c>
      <c r="J44" s="2" t="s">
        <v>109</v>
      </c>
      <c r="K44" s="2" t="s">
        <v>114</v>
      </c>
      <c r="L44" s="2" t="s">
        <v>432</v>
      </c>
      <c r="M44" s="2" t="s">
        <v>109</v>
      </c>
      <c r="N44" s="2" t="s">
        <v>109</v>
      </c>
      <c r="O44" s="2" t="s">
        <v>109</v>
      </c>
      <c r="Q44" s="2" t="s">
        <v>109</v>
      </c>
      <c r="R44" s="2" t="s">
        <v>109</v>
      </c>
      <c r="S44" s="2" t="s">
        <v>109</v>
      </c>
      <c r="T44" s="2" t="s">
        <v>109</v>
      </c>
      <c r="U44" s="2" t="s">
        <v>116</v>
      </c>
      <c r="V44" s="2" t="s">
        <v>3022</v>
      </c>
      <c r="W44" s="2" t="b">
        <v>0</v>
      </c>
      <c r="X44" s="2" t="s">
        <v>109</v>
      </c>
      <c r="Y44" s="2" t="s">
        <v>429</v>
      </c>
      <c r="AA44" s="2" t="s">
        <v>109</v>
      </c>
      <c r="AB44" s="2" t="s">
        <v>109</v>
      </c>
      <c r="AC44" s="2" t="s">
        <v>452</v>
      </c>
      <c r="AD44" s="2" t="s">
        <v>109</v>
      </c>
      <c r="AE44" s="2">
        <v>2</v>
      </c>
      <c r="AF44" s="2" t="s">
        <v>3030</v>
      </c>
      <c r="AG44" s="3" t="s">
        <v>3166</v>
      </c>
      <c r="AH44" s="3" t="s">
        <v>3175</v>
      </c>
      <c r="AI44" s="2">
        <v>1</v>
      </c>
      <c r="AJ44" s="2" t="s">
        <v>3167</v>
      </c>
      <c r="AK44" s="2" t="s">
        <v>121</v>
      </c>
      <c r="AL44" s="2" t="s">
        <v>3027</v>
      </c>
      <c r="AM44" s="68">
        <v>45223</v>
      </c>
      <c r="AN44" s="2" t="s">
        <v>122</v>
      </c>
      <c r="AO44" s="2" t="s">
        <v>109</v>
      </c>
      <c r="AP44" s="109" t="s">
        <v>109</v>
      </c>
      <c r="AQ44" s="2" t="b">
        <v>0</v>
      </c>
      <c r="AR44" s="2" t="s">
        <v>109</v>
      </c>
      <c r="AS44" s="2" t="s">
        <v>109</v>
      </c>
      <c r="AT44" s="2" t="s">
        <v>109</v>
      </c>
      <c r="AU44" s="2" t="b">
        <v>0</v>
      </c>
      <c r="AV44" s="2" t="s">
        <v>109</v>
      </c>
      <c r="AW44" s="2" t="s">
        <v>118</v>
      </c>
      <c r="AY44" s="2" t="s">
        <v>109</v>
      </c>
      <c r="AZ44" s="2" t="s">
        <v>109</v>
      </c>
      <c r="BA44" s="2" t="s">
        <v>118</v>
      </c>
      <c r="BB44" s="2" t="s">
        <v>118</v>
      </c>
      <c r="BC44" s="2" t="s">
        <v>135</v>
      </c>
      <c r="BD44" s="68" t="s">
        <v>109</v>
      </c>
      <c r="BE44" s="7" t="s">
        <v>109</v>
      </c>
      <c r="BF44" s="2" t="s">
        <v>109</v>
      </c>
      <c r="BG44" s="2" t="s">
        <v>126</v>
      </c>
      <c r="BH44" s="2" t="s">
        <v>109</v>
      </c>
      <c r="BI44" s="68" t="s">
        <v>109</v>
      </c>
      <c r="BJ44" s="68">
        <v>45291</v>
      </c>
      <c r="BK44" s="3" t="s">
        <v>109</v>
      </c>
      <c r="BL44" s="98" t="s">
        <v>109</v>
      </c>
      <c r="BM44" s="2" t="s">
        <v>109</v>
      </c>
      <c r="BN44" s="98" t="b">
        <v>0</v>
      </c>
      <c r="BO44" s="85" t="s">
        <v>118</v>
      </c>
      <c r="BP44" s="2" t="s">
        <v>128</v>
      </c>
      <c r="CF44" s="2" t="s">
        <v>109</v>
      </c>
      <c r="CS44" s="142"/>
      <c r="CU44" s="132" t="s">
        <v>3060</v>
      </c>
      <c r="CW44" s="2" t="s">
        <v>3029</v>
      </c>
      <c r="CX44" s="38"/>
    </row>
    <row r="45" spans="1:102" x14ac:dyDescent="0.3">
      <c r="A45" s="4">
        <v>44</v>
      </c>
      <c r="B45" s="44" t="s">
        <v>454</v>
      </c>
      <c r="C45" s="57" t="s">
        <v>109</v>
      </c>
      <c r="D45" s="4" t="s">
        <v>109</v>
      </c>
      <c r="E45" s="4" t="s">
        <v>191</v>
      </c>
      <c r="F45" s="46" t="s">
        <v>448</v>
      </c>
      <c r="G45" s="64" t="s">
        <v>439</v>
      </c>
      <c r="H45" s="4" t="s">
        <v>113</v>
      </c>
      <c r="I45" s="4" t="s">
        <v>109</v>
      </c>
      <c r="J45" s="4" t="s">
        <v>109</v>
      </c>
      <c r="K45" s="4" t="s">
        <v>114</v>
      </c>
      <c r="L45" s="4" t="s">
        <v>432</v>
      </c>
      <c r="M45" s="4" t="s">
        <v>109</v>
      </c>
      <c r="N45" s="4" t="s">
        <v>109</v>
      </c>
      <c r="O45" s="4" t="s">
        <v>109</v>
      </c>
      <c r="Q45" s="4" t="s">
        <v>109</v>
      </c>
      <c r="R45" s="4" t="s">
        <v>109</v>
      </c>
      <c r="S45" s="4" t="s">
        <v>109</v>
      </c>
      <c r="T45" s="4" t="s">
        <v>109</v>
      </c>
      <c r="U45" s="4" t="s">
        <v>116</v>
      </c>
      <c r="V45" s="4" t="s">
        <v>3022</v>
      </c>
      <c r="W45" s="4" t="b">
        <v>0</v>
      </c>
      <c r="X45" s="4" t="s">
        <v>109</v>
      </c>
      <c r="Y45" s="4" t="s">
        <v>429</v>
      </c>
      <c r="AA45" s="4" t="s">
        <v>109</v>
      </c>
      <c r="AB45" s="4" t="s">
        <v>109</v>
      </c>
      <c r="AC45" s="4">
        <v>69</v>
      </c>
      <c r="AD45" s="4" t="s">
        <v>109</v>
      </c>
      <c r="AE45" s="4">
        <v>2</v>
      </c>
      <c r="AF45" s="4" t="s">
        <v>3176</v>
      </c>
      <c r="AG45" s="5" t="s">
        <v>3166</v>
      </c>
      <c r="AH45" s="5" t="s">
        <v>3177</v>
      </c>
      <c r="AI45" s="4">
        <v>1</v>
      </c>
      <c r="AJ45" s="4" t="s">
        <v>3167</v>
      </c>
      <c r="AK45" s="4" t="s">
        <v>121</v>
      </c>
      <c r="AL45" s="4" t="s">
        <v>3027</v>
      </c>
      <c r="AM45" s="69">
        <v>43894</v>
      </c>
      <c r="AN45" s="4" t="s">
        <v>122</v>
      </c>
      <c r="AO45" s="4" t="s">
        <v>109</v>
      </c>
      <c r="AP45" s="217" t="s">
        <v>109</v>
      </c>
      <c r="AQ45" s="4" t="b">
        <v>0</v>
      </c>
      <c r="AR45" s="4" t="s">
        <v>109</v>
      </c>
      <c r="AS45" s="4" t="s">
        <v>109</v>
      </c>
      <c r="AT45" s="4" t="s">
        <v>109</v>
      </c>
      <c r="AU45" s="4" t="b">
        <v>0</v>
      </c>
      <c r="AV45" s="4" t="s">
        <v>109</v>
      </c>
      <c r="AW45" s="4" t="s">
        <v>118</v>
      </c>
      <c r="AY45" s="4" t="s">
        <v>109</v>
      </c>
      <c r="AZ45" s="4" t="s">
        <v>109</v>
      </c>
      <c r="BA45" s="4" t="s">
        <v>118</v>
      </c>
      <c r="BB45" s="4" t="s">
        <v>118</v>
      </c>
      <c r="BC45" s="4" t="s">
        <v>135</v>
      </c>
      <c r="BD45" s="69" t="s">
        <v>109</v>
      </c>
      <c r="BE45" s="6" t="s">
        <v>109</v>
      </c>
      <c r="BF45" s="4" t="s">
        <v>109</v>
      </c>
      <c r="BG45" s="4" t="s">
        <v>126</v>
      </c>
      <c r="BH45" s="4" t="s">
        <v>109</v>
      </c>
      <c r="BI45" s="75">
        <v>44055</v>
      </c>
      <c r="BJ45" s="69">
        <v>43922</v>
      </c>
      <c r="BK45" s="75">
        <v>44294</v>
      </c>
      <c r="BL45" s="97" t="s">
        <v>109</v>
      </c>
      <c r="BM45" s="97" t="s">
        <v>109</v>
      </c>
      <c r="BN45" s="4" t="b">
        <v>1</v>
      </c>
      <c r="BO45" s="130" t="s">
        <v>118</v>
      </c>
      <c r="BP45" s="4" t="s">
        <v>128</v>
      </c>
      <c r="CF45" s="4" t="s">
        <v>460</v>
      </c>
      <c r="CS45" s="143"/>
      <c r="CU45" s="216" t="s">
        <v>3060</v>
      </c>
      <c r="CW45" s="4" t="s">
        <v>3029</v>
      </c>
      <c r="CX45" s="39"/>
    </row>
    <row r="46" spans="1:102" ht="66" x14ac:dyDescent="0.3">
      <c r="A46" s="2">
        <v>45</v>
      </c>
      <c r="B46" s="43" t="s">
        <v>462</v>
      </c>
      <c r="C46" s="52" t="s">
        <v>109</v>
      </c>
      <c r="D46" s="2" t="s">
        <v>109</v>
      </c>
      <c r="E46" s="2" t="s">
        <v>177</v>
      </c>
      <c r="F46" s="47" t="s">
        <v>463</v>
      </c>
      <c r="G46" s="67" t="s">
        <v>439</v>
      </c>
      <c r="H46" s="2" t="s">
        <v>113</v>
      </c>
      <c r="I46" s="2" t="s">
        <v>109</v>
      </c>
      <c r="J46" s="2" t="s">
        <v>109</v>
      </c>
      <c r="K46" s="2" t="s">
        <v>114</v>
      </c>
      <c r="L46" s="2" t="s">
        <v>432</v>
      </c>
      <c r="M46" s="2" t="s">
        <v>109</v>
      </c>
      <c r="N46" s="2" t="s">
        <v>109</v>
      </c>
      <c r="O46" s="68">
        <v>45573</v>
      </c>
      <c r="Q46" s="2" t="s">
        <v>109</v>
      </c>
      <c r="R46" s="2" t="s">
        <v>109</v>
      </c>
      <c r="S46" s="2" t="s">
        <v>109</v>
      </c>
      <c r="T46" s="2" t="s">
        <v>109</v>
      </c>
      <c r="U46" s="2" t="s">
        <v>116</v>
      </c>
      <c r="V46" s="2" t="s">
        <v>3022</v>
      </c>
      <c r="W46" s="2" t="b">
        <v>0</v>
      </c>
      <c r="X46" s="2" t="s">
        <v>109</v>
      </c>
      <c r="Y46" s="2" t="s">
        <v>429</v>
      </c>
      <c r="AA46" s="2" t="s">
        <v>109</v>
      </c>
      <c r="AB46" s="2" t="s">
        <v>109</v>
      </c>
      <c r="AC46" s="2">
        <v>69</v>
      </c>
      <c r="AD46" s="2" t="s">
        <v>109</v>
      </c>
      <c r="AE46" s="2">
        <v>2</v>
      </c>
      <c r="AF46" s="2" t="s">
        <v>3023</v>
      </c>
      <c r="AG46" s="3" t="s">
        <v>3166</v>
      </c>
      <c r="AH46" s="3" t="s">
        <v>3178</v>
      </c>
      <c r="AI46" s="2">
        <v>21</v>
      </c>
      <c r="AJ46" s="2" t="s">
        <v>3167</v>
      </c>
      <c r="AK46" s="2" t="s">
        <v>121</v>
      </c>
      <c r="AL46" s="2" t="s">
        <v>3027</v>
      </c>
      <c r="AM46" s="68">
        <v>45224</v>
      </c>
      <c r="AN46" s="2" t="s">
        <v>122</v>
      </c>
      <c r="AO46" s="2" t="s">
        <v>109</v>
      </c>
      <c r="AP46" s="109" t="s">
        <v>109</v>
      </c>
      <c r="AQ46" s="2" t="b">
        <v>0</v>
      </c>
      <c r="AR46" s="2" t="s">
        <v>109</v>
      </c>
      <c r="AS46" s="2" t="s">
        <v>109</v>
      </c>
      <c r="AT46" s="2" t="s">
        <v>109</v>
      </c>
      <c r="AU46" s="2" t="b">
        <v>0</v>
      </c>
      <c r="AV46" s="2" t="s">
        <v>109</v>
      </c>
      <c r="AW46" s="2" t="s">
        <v>118</v>
      </c>
      <c r="AY46" s="2" t="s">
        <v>109</v>
      </c>
      <c r="AZ46" s="2" t="s">
        <v>109</v>
      </c>
      <c r="BA46" s="2" t="s">
        <v>118</v>
      </c>
      <c r="BB46" s="2" t="s">
        <v>118</v>
      </c>
      <c r="BC46" s="2" t="s">
        <v>135</v>
      </c>
      <c r="BD46" s="68" t="s">
        <v>109</v>
      </c>
      <c r="BE46" s="7" t="s">
        <v>109</v>
      </c>
      <c r="BF46" s="2" t="s">
        <v>109</v>
      </c>
      <c r="BG46" s="2" t="s">
        <v>126</v>
      </c>
      <c r="BH46" s="2" t="s">
        <v>109</v>
      </c>
      <c r="BI46" s="68" t="s">
        <v>464</v>
      </c>
      <c r="BJ46" s="68">
        <v>45291</v>
      </c>
      <c r="BK46" s="109" t="s">
        <v>3179</v>
      </c>
      <c r="BL46" s="98" t="s">
        <v>109</v>
      </c>
      <c r="BM46" s="2" t="s">
        <v>109</v>
      </c>
      <c r="BN46" s="2" t="b">
        <v>1</v>
      </c>
      <c r="BO46" s="85" t="s">
        <v>118</v>
      </c>
      <c r="BP46" s="2" t="s">
        <v>128</v>
      </c>
      <c r="CF46" s="2" t="s">
        <v>270</v>
      </c>
      <c r="CS46" s="142" t="s">
        <v>3180</v>
      </c>
      <c r="CU46" s="132" t="s">
        <v>3060</v>
      </c>
      <c r="CW46" s="2" t="s">
        <v>3181</v>
      </c>
      <c r="CX46" s="38"/>
    </row>
    <row r="47" spans="1:102" x14ac:dyDescent="0.3">
      <c r="A47" s="4">
        <v>46</v>
      </c>
      <c r="B47" s="44" t="s">
        <v>466</v>
      </c>
      <c r="C47" s="53">
        <v>32.78342</v>
      </c>
      <c r="D47" s="53">
        <v>-117.137798</v>
      </c>
      <c r="E47" s="4" t="s">
        <v>329</v>
      </c>
      <c r="F47" s="46" t="s">
        <v>467</v>
      </c>
      <c r="G47" s="64" t="s">
        <v>439</v>
      </c>
      <c r="H47" s="4" t="s">
        <v>113</v>
      </c>
      <c r="I47" s="4" t="s">
        <v>109</v>
      </c>
      <c r="J47" s="4" t="s">
        <v>109</v>
      </c>
      <c r="K47" s="4" t="s">
        <v>114</v>
      </c>
      <c r="L47" s="4" t="s">
        <v>432</v>
      </c>
      <c r="M47" s="4" t="s">
        <v>109</v>
      </c>
      <c r="N47" s="4" t="s">
        <v>109</v>
      </c>
      <c r="O47" s="69">
        <v>45595</v>
      </c>
      <c r="Q47" s="4" t="s">
        <v>109</v>
      </c>
      <c r="R47" s="4" t="s">
        <v>109</v>
      </c>
      <c r="S47" s="4" t="s">
        <v>109</v>
      </c>
      <c r="T47" s="4" t="s">
        <v>109</v>
      </c>
      <c r="U47" s="4" t="s">
        <v>116</v>
      </c>
      <c r="V47" s="4" t="s">
        <v>3022</v>
      </c>
      <c r="W47" s="4" t="b">
        <v>0</v>
      </c>
      <c r="X47" s="4" t="s">
        <v>109</v>
      </c>
      <c r="Y47" s="4" t="s">
        <v>429</v>
      </c>
      <c r="AA47" s="4" t="s">
        <v>109</v>
      </c>
      <c r="AB47" s="4">
        <v>1.83</v>
      </c>
      <c r="AC47" s="4">
        <v>69</v>
      </c>
      <c r="AD47" s="4" t="s">
        <v>109</v>
      </c>
      <c r="AE47" s="4">
        <v>2</v>
      </c>
      <c r="AF47" s="4" t="s">
        <v>3030</v>
      </c>
      <c r="AG47" s="5" t="s">
        <v>3166</v>
      </c>
      <c r="AH47" s="5" t="s">
        <v>3182</v>
      </c>
      <c r="AI47" s="4">
        <v>1</v>
      </c>
      <c r="AJ47" s="4" t="s">
        <v>3167</v>
      </c>
      <c r="AK47" s="4" t="s">
        <v>121</v>
      </c>
      <c r="AL47" s="4" t="s">
        <v>3027</v>
      </c>
      <c r="AM47" s="69">
        <v>42293</v>
      </c>
      <c r="AN47" s="4" t="s">
        <v>122</v>
      </c>
      <c r="AO47" s="4" t="s">
        <v>109</v>
      </c>
      <c r="AP47" s="217" t="s">
        <v>109</v>
      </c>
      <c r="AQ47" s="4" t="b">
        <v>0</v>
      </c>
      <c r="AR47" s="4" t="s">
        <v>109</v>
      </c>
      <c r="AS47" s="4" t="s">
        <v>109</v>
      </c>
      <c r="AT47" s="4" t="s">
        <v>109</v>
      </c>
      <c r="AU47" s="4" t="b">
        <v>0</v>
      </c>
      <c r="AV47" s="4" t="s">
        <v>109</v>
      </c>
      <c r="AW47" s="4" t="s">
        <v>118</v>
      </c>
      <c r="AY47" s="4" t="s">
        <v>109</v>
      </c>
      <c r="AZ47" s="4" t="s">
        <v>109</v>
      </c>
      <c r="BA47" s="4" t="s">
        <v>118</v>
      </c>
      <c r="BB47" s="4" t="s">
        <v>118</v>
      </c>
      <c r="BC47" s="4" t="s">
        <v>135</v>
      </c>
      <c r="BD47" s="69" t="s">
        <v>109</v>
      </c>
      <c r="BE47" s="6" t="s">
        <v>109</v>
      </c>
      <c r="BF47" s="4" t="s">
        <v>109</v>
      </c>
      <c r="BG47" s="4" t="s">
        <v>126</v>
      </c>
      <c r="BH47" s="4" t="s">
        <v>109</v>
      </c>
      <c r="BI47" s="69" t="s">
        <v>109</v>
      </c>
      <c r="BJ47" s="69">
        <v>42735</v>
      </c>
      <c r="BK47" s="5" t="s">
        <v>109</v>
      </c>
      <c r="BL47" s="97" t="s">
        <v>109</v>
      </c>
      <c r="BM47" s="97" t="s">
        <v>109</v>
      </c>
      <c r="BN47" s="97" t="b">
        <v>0</v>
      </c>
      <c r="BO47" s="130" t="s">
        <v>118</v>
      </c>
      <c r="BP47" s="4" t="s">
        <v>128</v>
      </c>
      <c r="CF47" s="4" t="s">
        <v>469</v>
      </c>
      <c r="CS47" s="144"/>
      <c r="CU47" s="216" t="s">
        <v>3060</v>
      </c>
      <c r="CW47" s="4" t="s">
        <v>3183</v>
      </c>
      <c r="CX47" s="39"/>
    </row>
    <row r="48" spans="1:102" x14ac:dyDescent="0.3">
      <c r="A48" s="2">
        <v>47</v>
      </c>
      <c r="B48" s="43" t="s">
        <v>471</v>
      </c>
      <c r="C48" s="51">
        <v>33.021850000000001</v>
      </c>
      <c r="D48" s="51">
        <v>-117.09603300000001</v>
      </c>
      <c r="E48" s="2" t="s">
        <v>329</v>
      </c>
      <c r="F48" s="47" t="s">
        <v>472</v>
      </c>
      <c r="G48" s="67" t="s">
        <v>439</v>
      </c>
      <c r="H48" s="2" t="s">
        <v>113</v>
      </c>
      <c r="I48" s="2" t="s">
        <v>109</v>
      </c>
      <c r="J48" s="2" t="s">
        <v>109</v>
      </c>
      <c r="K48" s="2" t="s">
        <v>114</v>
      </c>
      <c r="L48" s="2" t="s">
        <v>432</v>
      </c>
      <c r="M48" s="2" t="s">
        <v>109</v>
      </c>
      <c r="N48" s="2" t="s">
        <v>109</v>
      </c>
      <c r="O48" s="68">
        <v>45568</v>
      </c>
      <c r="Q48" s="2">
        <v>3.32</v>
      </c>
      <c r="R48" s="2" t="s">
        <v>109</v>
      </c>
      <c r="S48" s="2" t="s">
        <v>109</v>
      </c>
      <c r="T48" s="2" t="s">
        <v>109</v>
      </c>
      <c r="U48" s="2" t="s">
        <v>116</v>
      </c>
      <c r="V48" s="2" t="s">
        <v>3022</v>
      </c>
      <c r="W48" s="2" t="b">
        <v>0</v>
      </c>
      <c r="X48" s="2" t="s">
        <v>109</v>
      </c>
      <c r="Y48" s="2" t="s">
        <v>429</v>
      </c>
      <c r="AA48" s="2" t="s">
        <v>109</v>
      </c>
      <c r="AB48" s="2" t="s">
        <v>474</v>
      </c>
      <c r="AC48" s="2">
        <v>69</v>
      </c>
      <c r="AD48" s="2" t="s">
        <v>109</v>
      </c>
      <c r="AE48" s="2">
        <v>2</v>
      </c>
      <c r="AF48" s="2" t="s">
        <v>3184</v>
      </c>
      <c r="AG48" s="3" t="s">
        <v>3166</v>
      </c>
      <c r="AH48" s="3" t="s">
        <v>3185</v>
      </c>
      <c r="AI48" s="2">
        <v>1</v>
      </c>
      <c r="AJ48" s="2" t="s">
        <v>3167</v>
      </c>
      <c r="AK48" s="2" t="s">
        <v>121</v>
      </c>
      <c r="AL48" s="2" t="s">
        <v>3027</v>
      </c>
      <c r="AM48" s="68">
        <v>45224</v>
      </c>
      <c r="AN48" s="2" t="s">
        <v>122</v>
      </c>
      <c r="AO48" s="2" t="s">
        <v>109</v>
      </c>
      <c r="AP48" s="109" t="s">
        <v>109</v>
      </c>
      <c r="AQ48" s="2" t="b">
        <v>0</v>
      </c>
      <c r="AR48" s="2" t="s">
        <v>109</v>
      </c>
      <c r="AS48" s="2" t="s">
        <v>109</v>
      </c>
      <c r="AT48" s="2" t="s">
        <v>109</v>
      </c>
      <c r="AU48" s="2" t="b">
        <v>0</v>
      </c>
      <c r="AV48" s="2" t="s">
        <v>109</v>
      </c>
      <c r="AW48" s="2" t="s">
        <v>118</v>
      </c>
      <c r="AY48" s="2" t="s">
        <v>109</v>
      </c>
      <c r="AZ48" s="2" t="s">
        <v>109</v>
      </c>
      <c r="BA48" s="2" t="s">
        <v>118</v>
      </c>
      <c r="BB48" s="2" t="s">
        <v>118</v>
      </c>
      <c r="BC48" s="2" t="s">
        <v>135</v>
      </c>
      <c r="BD48" s="68" t="s">
        <v>109</v>
      </c>
      <c r="BE48" s="7" t="s">
        <v>109</v>
      </c>
      <c r="BF48" s="2" t="s">
        <v>109</v>
      </c>
      <c r="BG48" s="2" t="s">
        <v>322</v>
      </c>
      <c r="BH48" s="2" t="s">
        <v>109</v>
      </c>
      <c r="BI48" s="68">
        <v>44313</v>
      </c>
      <c r="BJ48" s="68">
        <v>45244</v>
      </c>
      <c r="BK48" s="68">
        <v>45652</v>
      </c>
      <c r="BL48" s="98" t="s">
        <v>109</v>
      </c>
      <c r="BM48" s="98" t="s">
        <v>109</v>
      </c>
      <c r="BN48" s="2" t="b">
        <v>1</v>
      </c>
      <c r="BO48" s="85" t="s">
        <v>118</v>
      </c>
      <c r="BP48" s="2" t="s">
        <v>128</v>
      </c>
      <c r="CF48" s="2" t="s">
        <v>3186</v>
      </c>
      <c r="CS48" s="142"/>
      <c r="CU48" s="132" t="s">
        <v>3187</v>
      </c>
      <c r="CW48" s="2" t="s">
        <v>3188</v>
      </c>
      <c r="CX48" s="38"/>
    </row>
    <row r="49" spans="1:102" x14ac:dyDescent="0.3">
      <c r="A49" s="4">
        <v>48</v>
      </c>
      <c r="B49" s="217" t="s">
        <v>3189</v>
      </c>
      <c r="C49" s="56"/>
      <c r="D49" s="4"/>
      <c r="E49" s="4"/>
      <c r="F49" s="46"/>
      <c r="G49" s="64"/>
      <c r="H49" s="64"/>
      <c r="I49" s="64"/>
      <c r="J49" s="64"/>
      <c r="K49" s="64"/>
      <c r="L49" s="64"/>
      <c r="M49" s="64"/>
      <c r="N49" s="64"/>
      <c r="O49" s="64"/>
      <c r="Q49" s="64"/>
      <c r="R49" s="64"/>
      <c r="S49" s="64"/>
      <c r="T49" s="64"/>
      <c r="U49" s="87"/>
      <c r="V49" s="4"/>
      <c r="W49" s="4"/>
      <c r="X49" s="4"/>
      <c r="Y49" s="4" t="s">
        <v>429</v>
      </c>
      <c r="AA49" s="4"/>
      <c r="AB49" s="4"/>
      <c r="AC49" s="4"/>
      <c r="AD49" s="91"/>
      <c r="AE49" s="4"/>
      <c r="AF49" s="4" t="s">
        <v>3184</v>
      </c>
      <c r="AG49" s="5" t="s">
        <v>3166</v>
      </c>
      <c r="AH49" s="5" t="s">
        <v>3190</v>
      </c>
      <c r="AI49" s="4"/>
      <c r="AJ49" s="4" t="s">
        <v>3167</v>
      </c>
      <c r="AK49" s="4"/>
      <c r="AL49" s="4" t="s">
        <v>3053</v>
      </c>
      <c r="AM49" s="69"/>
      <c r="AN49" s="91"/>
      <c r="AO49" s="4"/>
      <c r="AP49" s="217"/>
      <c r="AQ49" s="4"/>
      <c r="AR49" s="4"/>
      <c r="AS49" s="4"/>
      <c r="AT49" s="4"/>
      <c r="AU49" s="91"/>
      <c r="AV49" s="4"/>
      <c r="AW49" s="4"/>
      <c r="AY49" s="4"/>
      <c r="AZ49" s="4"/>
      <c r="BA49" s="4"/>
      <c r="BB49" s="4"/>
      <c r="BC49" s="4" t="s">
        <v>135</v>
      </c>
      <c r="BD49" s="4"/>
      <c r="BE49" s="4"/>
      <c r="BF49" s="4"/>
      <c r="BG49" s="4"/>
      <c r="BH49" s="4"/>
      <c r="BI49" s="69">
        <v>44313</v>
      </c>
      <c r="BJ49" s="69"/>
      <c r="BK49" s="69">
        <v>45652</v>
      </c>
      <c r="BL49" s="97"/>
      <c r="BM49" s="4"/>
      <c r="BN49" s="4"/>
      <c r="BO49" s="91"/>
      <c r="BP49" s="4"/>
      <c r="CF49" s="4"/>
      <c r="CS49" s="147"/>
      <c r="CU49" s="216" t="s">
        <v>3028</v>
      </c>
      <c r="CW49" s="4" t="s">
        <v>3191</v>
      </c>
      <c r="CX49" s="39"/>
    </row>
    <row r="50" spans="1:102" x14ac:dyDescent="0.3">
      <c r="A50" s="2">
        <v>49</v>
      </c>
      <c r="B50" s="109" t="s">
        <v>3192</v>
      </c>
      <c r="C50" s="55"/>
      <c r="D50" s="2"/>
      <c r="E50" s="2"/>
      <c r="F50" s="47"/>
      <c r="G50" s="67"/>
      <c r="H50" s="67"/>
      <c r="I50" s="67"/>
      <c r="J50" s="67"/>
      <c r="K50" s="67"/>
      <c r="L50" s="67"/>
      <c r="M50" s="67"/>
      <c r="N50" s="67"/>
      <c r="O50" s="67"/>
      <c r="Q50" s="67"/>
      <c r="R50" s="67"/>
      <c r="S50" s="67"/>
      <c r="T50" s="67"/>
      <c r="U50" s="86"/>
      <c r="V50" s="2"/>
      <c r="W50" s="2"/>
      <c r="X50" s="2"/>
      <c r="Y50" s="2" t="s">
        <v>429</v>
      </c>
      <c r="AA50" s="2"/>
      <c r="AB50" s="2"/>
      <c r="AC50" s="2"/>
      <c r="AD50" s="90"/>
      <c r="AE50" s="2"/>
      <c r="AF50" s="2" t="s">
        <v>3184</v>
      </c>
      <c r="AG50" s="3" t="s">
        <v>3166</v>
      </c>
      <c r="AH50" s="3" t="s">
        <v>3193</v>
      </c>
      <c r="AI50" s="2"/>
      <c r="AJ50" s="2" t="s">
        <v>3167</v>
      </c>
      <c r="AK50" s="2"/>
      <c r="AL50" s="2" t="s">
        <v>3053</v>
      </c>
      <c r="AM50" s="68"/>
      <c r="AN50" s="90"/>
      <c r="AO50" s="2"/>
      <c r="AP50" s="109"/>
      <c r="AQ50" s="2"/>
      <c r="AR50" s="2"/>
      <c r="AS50" s="2"/>
      <c r="AT50" s="2"/>
      <c r="AU50" s="90"/>
      <c r="AV50" s="2"/>
      <c r="AW50" s="2"/>
      <c r="AY50" s="2"/>
      <c r="AZ50" s="2"/>
      <c r="BA50" s="2"/>
      <c r="BB50" s="2"/>
      <c r="BC50" s="2" t="s">
        <v>135</v>
      </c>
      <c r="BD50" s="2"/>
      <c r="BE50" s="2"/>
      <c r="BF50" s="2"/>
      <c r="BG50" s="2"/>
      <c r="BH50" s="2"/>
      <c r="BI50" s="68">
        <v>44313</v>
      </c>
      <c r="BJ50" s="68"/>
      <c r="BK50" s="68">
        <v>45652</v>
      </c>
      <c r="BL50" s="98"/>
      <c r="BM50" s="2"/>
      <c r="BN50" s="2"/>
      <c r="BO50" s="90"/>
      <c r="BP50" s="2"/>
      <c r="CF50" s="2"/>
      <c r="CS50" s="146"/>
      <c r="CU50" s="132" t="s">
        <v>3028</v>
      </c>
      <c r="CW50" s="2" t="s">
        <v>3194</v>
      </c>
      <c r="CX50" s="38"/>
    </row>
    <row r="51" spans="1:102" ht="66" x14ac:dyDescent="0.3">
      <c r="A51" s="4">
        <v>50</v>
      </c>
      <c r="B51" s="44" t="s">
        <v>482</v>
      </c>
      <c r="C51" s="53">
        <v>33.210925000000003</v>
      </c>
      <c r="D51" s="53">
        <v>-117.293655</v>
      </c>
      <c r="E51" s="4" t="s">
        <v>483</v>
      </c>
      <c r="F51" s="46" t="s">
        <v>484</v>
      </c>
      <c r="G51" s="4" t="s">
        <v>111</v>
      </c>
      <c r="H51" s="4" t="s">
        <v>112</v>
      </c>
      <c r="I51" s="4" t="s">
        <v>109</v>
      </c>
      <c r="J51" s="4" t="s">
        <v>109</v>
      </c>
      <c r="K51" s="4" t="s">
        <v>485</v>
      </c>
      <c r="L51" s="4" t="s">
        <v>486</v>
      </c>
      <c r="M51" s="4" t="s">
        <v>246</v>
      </c>
      <c r="N51" s="4" t="s">
        <v>109</v>
      </c>
      <c r="O51" s="69">
        <v>45559</v>
      </c>
      <c r="Q51" s="4" t="s">
        <v>109</v>
      </c>
      <c r="R51" s="4" t="s">
        <v>109</v>
      </c>
      <c r="S51" s="4" t="s">
        <v>109</v>
      </c>
      <c r="T51" s="4" t="s">
        <v>109</v>
      </c>
      <c r="U51" s="4" t="s">
        <v>116</v>
      </c>
      <c r="V51" s="4" t="s">
        <v>3022</v>
      </c>
      <c r="W51" s="4" t="b">
        <v>0</v>
      </c>
      <c r="X51" s="4" t="s">
        <v>487</v>
      </c>
      <c r="Y51" s="4" t="s">
        <v>481</v>
      </c>
      <c r="AA51" s="4" t="s">
        <v>118</v>
      </c>
      <c r="AB51" s="53">
        <v>1.0083819999999999</v>
      </c>
      <c r="AC51" s="4">
        <v>69</v>
      </c>
      <c r="AD51" s="4" t="s">
        <v>373</v>
      </c>
      <c r="AE51" s="4">
        <v>4.2</v>
      </c>
      <c r="AF51" s="4" t="s">
        <v>3195</v>
      </c>
      <c r="AG51" s="5" t="s">
        <v>3196</v>
      </c>
      <c r="AH51" s="5" t="s">
        <v>3197</v>
      </c>
      <c r="AI51" s="4">
        <v>1</v>
      </c>
      <c r="AJ51" s="4" t="s">
        <v>3198</v>
      </c>
      <c r="AK51" s="4" t="s">
        <v>121</v>
      </c>
      <c r="AL51" s="114" t="s">
        <v>3027</v>
      </c>
      <c r="AM51" s="69"/>
      <c r="AN51" s="4" t="s">
        <v>122</v>
      </c>
      <c r="AO51" s="64">
        <v>2010</v>
      </c>
      <c r="AP51" s="217" t="s">
        <v>109</v>
      </c>
      <c r="AQ51" s="114" t="s">
        <v>109</v>
      </c>
      <c r="AR51" s="64" t="s">
        <v>109</v>
      </c>
      <c r="AS51" s="114" t="s">
        <v>109</v>
      </c>
      <c r="AT51" s="114" t="s">
        <v>109</v>
      </c>
      <c r="AU51" s="4" t="b">
        <v>0</v>
      </c>
      <c r="AV51" s="4" t="s">
        <v>490</v>
      </c>
      <c r="AW51" s="69">
        <v>43010</v>
      </c>
      <c r="AY51" s="4" t="s">
        <v>491</v>
      </c>
      <c r="AZ51" s="4" t="s">
        <v>109</v>
      </c>
      <c r="BA51" s="4" t="s">
        <v>226</v>
      </c>
      <c r="BB51" s="4" t="s">
        <v>118</v>
      </c>
      <c r="BC51" s="4" t="s">
        <v>492</v>
      </c>
      <c r="BD51" s="4">
        <v>42800</v>
      </c>
      <c r="BE51" s="4" t="s">
        <v>494</v>
      </c>
      <c r="BF51" s="4">
        <v>2017</v>
      </c>
      <c r="BG51" s="4" t="s">
        <v>126</v>
      </c>
      <c r="BH51" s="4" t="s">
        <v>109</v>
      </c>
      <c r="BI51" s="75">
        <v>43122</v>
      </c>
      <c r="BJ51" s="69" t="s">
        <v>109</v>
      </c>
      <c r="BK51" s="75">
        <v>43648</v>
      </c>
      <c r="BL51" s="97" t="s">
        <v>497</v>
      </c>
      <c r="BM51" s="4" t="s">
        <v>109</v>
      </c>
      <c r="BN51" s="97" t="b">
        <v>0</v>
      </c>
      <c r="BO51" s="130">
        <v>24115</v>
      </c>
      <c r="BP51" s="4" t="s">
        <v>128</v>
      </c>
      <c r="CF51" s="4" t="s">
        <v>189</v>
      </c>
      <c r="CS51" s="143" t="s">
        <v>498</v>
      </c>
      <c r="CU51" s="216" t="s">
        <v>3060</v>
      </c>
      <c r="CW51" s="4" t="s">
        <v>3199</v>
      </c>
      <c r="CX51" s="39"/>
    </row>
    <row r="52" spans="1:102" ht="264" x14ac:dyDescent="0.3">
      <c r="A52" s="2">
        <v>51</v>
      </c>
      <c r="B52" s="43" t="s">
        <v>500</v>
      </c>
      <c r="C52" s="51">
        <v>33.454711000000003</v>
      </c>
      <c r="D52" s="51">
        <v>-117.579871</v>
      </c>
      <c r="E52" s="2" t="s">
        <v>501</v>
      </c>
      <c r="F52" s="47" t="s">
        <v>3200</v>
      </c>
      <c r="G52" s="2" t="s">
        <v>503</v>
      </c>
      <c r="H52" s="2" t="s">
        <v>113</v>
      </c>
      <c r="I52" s="2" t="s">
        <v>112</v>
      </c>
      <c r="J52" s="2" t="s">
        <v>109</v>
      </c>
      <c r="K52" s="2" t="s">
        <v>485</v>
      </c>
      <c r="L52" s="2" t="s">
        <v>504</v>
      </c>
      <c r="M52" s="2" t="s">
        <v>505</v>
      </c>
      <c r="N52" s="2" t="s">
        <v>109</v>
      </c>
      <c r="O52" s="68">
        <v>45588</v>
      </c>
      <c r="Q52" s="2" t="s">
        <v>507</v>
      </c>
      <c r="R52" s="2" t="s">
        <v>508</v>
      </c>
      <c r="S52" s="2" t="s">
        <v>509</v>
      </c>
      <c r="T52" s="2" t="s">
        <v>240</v>
      </c>
      <c r="U52" s="2" t="s">
        <v>404</v>
      </c>
      <c r="V52" s="2" t="s">
        <v>3201</v>
      </c>
      <c r="W52" s="2" t="b">
        <v>0</v>
      </c>
      <c r="X52" s="2" t="s">
        <v>510</v>
      </c>
      <c r="Y52" s="2" t="s">
        <v>499</v>
      </c>
      <c r="AA52" s="51">
        <v>9.1338589999999993</v>
      </c>
      <c r="AB52" s="51">
        <v>6</v>
      </c>
      <c r="AC52" s="2">
        <v>230</v>
      </c>
      <c r="AD52" s="2" t="s">
        <v>201</v>
      </c>
      <c r="AE52" s="2">
        <v>2.1</v>
      </c>
      <c r="AF52" s="2" t="s">
        <v>3202</v>
      </c>
      <c r="AG52" s="3" t="s">
        <v>3203</v>
      </c>
      <c r="AH52" s="106" t="s">
        <v>3204</v>
      </c>
      <c r="AI52" s="2">
        <v>1</v>
      </c>
      <c r="AJ52" s="2" t="s">
        <v>3205</v>
      </c>
      <c r="AK52" s="2" t="s">
        <v>121</v>
      </c>
      <c r="AL52" s="2" t="s">
        <v>3053</v>
      </c>
      <c r="AM52" s="68" t="s">
        <v>109</v>
      </c>
      <c r="AN52" s="2" t="s">
        <v>122</v>
      </c>
      <c r="AO52" s="2">
        <v>2006</v>
      </c>
      <c r="AP52" s="109">
        <v>2011</v>
      </c>
      <c r="AQ52" s="2" t="b">
        <v>0</v>
      </c>
      <c r="AR52" s="2" t="s">
        <v>513</v>
      </c>
      <c r="AS52" s="2" t="s">
        <v>109</v>
      </c>
      <c r="AT52" s="2" t="s">
        <v>514</v>
      </c>
      <c r="AU52" s="2" t="b">
        <v>0</v>
      </c>
      <c r="AV52" s="2" t="s">
        <v>490</v>
      </c>
      <c r="AW52" s="120" t="s">
        <v>3206</v>
      </c>
      <c r="AY52" s="2" t="s">
        <v>515</v>
      </c>
      <c r="AZ52" s="2" t="s">
        <v>109</v>
      </c>
      <c r="BA52" s="2" t="s">
        <v>226</v>
      </c>
      <c r="BB52" s="2" t="s">
        <v>118</v>
      </c>
      <c r="BC52" s="2" t="s">
        <v>516</v>
      </c>
      <c r="BD52" s="108">
        <v>41047</v>
      </c>
      <c r="BE52" s="2" t="s">
        <v>494</v>
      </c>
      <c r="BF52" s="2">
        <v>2016</v>
      </c>
      <c r="BG52" s="2" t="s">
        <v>322</v>
      </c>
      <c r="BH52" s="2" t="s">
        <v>109</v>
      </c>
      <c r="BI52" s="68">
        <v>43280</v>
      </c>
      <c r="BJ52" s="68">
        <v>42142</v>
      </c>
      <c r="BK52" s="68">
        <v>45519</v>
      </c>
      <c r="BL52" s="98" t="s">
        <v>521</v>
      </c>
      <c r="BM52" s="2" t="s">
        <v>521</v>
      </c>
      <c r="BN52" s="2" t="b">
        <v>1</v>
      </c>
      <c r="BO52" s="85">
        <v>363363</v>
      </c>
      <c r="BP52" s="133" t="s">
        <v>522</v>
      </c>
      <c r="CF52" s="2" t="s">
        <v>129</v>
      </c>
      <c r="CS52" s="142" t="s">
        <v>523</v>
      </c>
      <c r="CU52" s="132" t="s">
        <v>3028</v>
      </c>
      <c r="CW52" s="2" t="s">
        <v>3207</v>
      </c>
      <c r="CX52" s="38"/>
    </row>
    <row r="53" spans="1:102" x14ac:dyDescent="0.3">
      <c r="A53" s="4">
        <v>54</v>
      </c>
      <c r="B53" s="44" t="s">
        <v>524</v>
      </c>
      <c r="C53" s="57" t="s">
        <v>109</v>
      </c>
      <c r="D53" s="4" t="s">
        <v>109</v>
      </c>
      <c r="E53" s="6" t="s">
        <v>109</v>
      </c>
      <c r="F53" s="46" t="s">
        <v>525</v>
      </c>
      <c r="G53" s="4" t="s">
        <v>111</v>
      </c>
      <c r="H53" s="4" t="s">
        <v>146</v>
      </c>
      <c r="I53" s="4" t="s">
        <v>109</v>
      </c>
      <c r="J53" s="4" t="s">
        <v>109</v>
      </c>
      <c r="K53" s="4" t="s">
        <v>114</v>
      </c>
      <c r="L53" s="4" t="s">
        <v>115</v>
      </c>
      <c r="M53" s="4" t="s">
        <v>505</v>
      </c>
      <c r="N53" s="4" t="s">
        <v>109</v>
      </c>
      <c r="O53" s="4" t="s">
        <v>109</v>
      </c>
      <c r="Q53" s="4" t="s">
        <v>109</v>
      </c>
      <c r="R53" s="4" t="s">
        <v>109</v>
      </c>
      <c r="S53" s="4" t="s">
        <v>109</v>
      </c>
      <c r="T53" s="4" t="s">
        <v>109</v>
      </c>
      <c r="U53" s="4" t="s">
        <v>116</v>
      </c>
      <c r="V53" s="4" t="s">
        <v>3022</v>
      </c>
      <c r="W53" s="4" t="b">
        <v>0</v>
      </c>
      <c r="X53" s="4" t="s">
        <v>109</v>
      </c>
      <c r="Y53" s="4" t="s">
        <v>3208</v>
      </c>
      <c r="AA53" s="4" t="s">
        <v>118</v>
      </c>
      <c r="AB53" s="4" t="s">
        <v>118</v>
      </c>
      <c r="AC53" s="4" t="s">
        <v>119</v>
      </c>
      <c r="AD53" s="4" t="s">
        <v>526</v>
      </c>
      <c r="AE53" s="4">
        <v>4.0999999999999996</v>
      </c>
      <c r="AF53" s="4" t="s">
        <v>3023</v>
      </c>
      <c r="AG53" s="5" t="s">
        <v>3209</v>
      </c>
      <c r="AH53" s="5" t="s">
        <v>3025</v>
      </c>
      <c r="AI53" s="4">
        <v>34</v>
      </c>
      <c r="AJ53" s="4" t="s">
        <v>3210</v>
      </c>
      <c r="AK53" s="4" t="s">
        <v>121</v>
      </c>
      <c r="AL53" s="4" t="s">
        <v>3027</v>
      </c>
      <c r="AM53" s="69">
        <v>45252</v>
      </c>
      <c r="AN53" s="4" t="s">
        <v>122</v>
      </c>
      <c r="AO53" s="4" t="s">
        <v>109</v>
      </c>
      <c r="AP53" s="217" t="s">
        <v>109</v>
      </c>
      <c r="AQ53" s="4" t="b">
        <v>0</v>
      </c>
      <c r="AR53" s="4" t="s">
        <v>109</v>
      </c>
      <c r="AS53" s="4" t="s">
        <v>109</v>
      </c>
      <c r="AT53" s="4" t="s">
        <v>118</v>
      </c>
      <c r="AU53" s="4" t="b">
        <v>0</v>
      </c>
      <c r="AV53" s="4" t="s">
        <v>109</v>
      </c>
      <c r="AW53" s="4" t="s">
        <v>118</v>
      </c>
      <c r="AY53" s="4" t="s">
        <v>109</v>
      </c>
      <c r="AZ53" s="4" t="s">
        <v>109</v>
      </c>
      <c r="BA53" s="4" t="s">
        <v>118</v>
      </c>
      <c r="BB53" s="4" t="s">
        <v>118</v>
      </c>
      <c r="BC53" s="4" t="s">
        <v>109</v>
      </c>
      <c r="BD53" s="69" t="s">
        <v>109</v>
      </c>
      <c r="BE53" s="6" t="s">
        <v>109</v>
      </c>
      <c r="BF53" s="4" t="s">
        <v>109</v>
      </c>
      <c r="BG53" s="4" t="s">
        <v>126</v>
      </c>
      <c r="BH53" s="4" t="s">
        <v>109</v>
      </c>
      <c r="BI53" s="69" t="s">
        <v>109</v>
      </c>
      <c r="BJ53" s="69">
        <v>45657</v>
      </c>
      <c r="BK53" s="69" t="s">
        <v>109</v>
      </c>
      <c r="BL53" s="97" t="s">
        <v>109</v>
      </c>
      <c r="BM53" s="4" t="s">
        <v>109</v>
      </c>
      <c r="BN53" s="4" t="b">
        <v>1</v>
      </c>
      <c r="BO53" s="130" t="s">
        <v>118</v>
      </c>
      <c r="BP53" s="4" t="s">
        <v>128</v>
      </c>
      <c r="CF53" s="4" t="s">
        <v>129</v>
      </c>
      <c r="CS53" s="144"/>
      <c r="CU53" s="216" t="s">
        <v>3028</v>
      </c>
      <c r="CW53" s="4" t="s">
        <v>3029</v>
      </c>
      <c r="CX53" s="39"/>
    </row>
    <row r="54" spans="1:102" x14ac:dyDescent="0.3">
      <c r="A54" s="2">
        <v>55</v>
      </c>
      <c r="B54" s="109" t="s">
        <v>3211</v>
      </c>
      <c r="C54" s="55"/>
      <c r="D54" s="2"/>
      <c r="E54" s="2"/>
      <c r="F54" s="47"/>
      <c r="G54" s="67"/>
      <c r="H54" s="67"/>
      <c r="I54" s="67"/>
      <c r="J54" s="67"/>
      <c r="K54" s="67"/>
      <c r="L54" s="67"/>
      <c r="M54" s="67"/>
      <c r="N54" s="67"/>
      <c r="O54" s="67"/>
      <c r="Q54" s="67"/>
      <c r="R54" s="67"/>
      <c r="S54" s="67"/>
      <c r="T54" s="67"/>
      <c r="U54" s="86"/>
      <c r="V54" s="2"/>
      <c r="W54" s="2"/>
      <c r="X54" s="2"/>
      <c r="Y54" s="2" t="s">
        <v>3212</v>
      </c>
      <c r="AA54" s="2"/>
      <c r="AB54" s="2"/>
      <c r="AC54" s="2"/>
      <c r="AD54" s="90"/>
      <c r="AE54" s="2"/>
      <c r="AF54" s="2" t="s">
        <v>3051</v>
      </c>
      <c r="AG54" s="3" t="s">
        <v>3209</v>
      </c>
      <c r="AH54" s="3" t="s">
        <v>3213</v>
      </c>
      <c r="AI54" s="2"/>
      <c r="AJ54" s="2" t="s">
        <v>3210</v>
      </c>
      <c r="AK54" s="2"/>
      <c r="AL54" s="2" t="s">
        <v>3053</v>
      </c>
      <c r="AM54" s="68"/>
      <c r="AN54" s="90"/>
      <c r="AO54" s="2"/>
      <c r="AP54" s="109"/>
      <c r="AQ54" s="2"/>
      <c r="AR54" s="2"/>
      <c r="AS54" s="2"/>
      <c r="AT54" s="2"/>
      <c r="AU54" s="90"/>
      <c r="AV54" s="2"/>
      <c r="AW54" s="2"/>
      <c r="AY54" s="2"/>
      <c r="AZ54" s="2"/>
      <c r="BA54" s="2"/>
      <c r="BB54" s="2"/>
      <c r="BC54" s="2"/>
      <c r="BD54" s="2"/>
      <c r="BE54" s="2"/>
      <c r="BF54" s="2"/>
      <c r="BG54" s="2"/>
      <c r="BH54" s="2"/>
      <c r="BI54" s="68"/>
      <c r="BJ54" s="68"/>
      <c r="BK54" s="68"/>
      <c r="BL54" s="98"/>
      <c r="BM54" s="2"/>
      <c r="BN54" s="2"/>
      <c r="BO54" s="90"/>
      <c r="BP54" s="2"/>
      <c r="CF54" s="2"/>
      <c r="CS54" s="146"/>
      <c r="CU54" s="2" t="s">
        <v>3028</v>
      </c>
      <c r="CW54" s="2" t="s">
        <v>3054</v>
      </c>
      <c r="CX54" s="38"/>
    </row>
    <row r="55" spans="1:102" x14ac:dyDescent="0.3">
      <c r="A55" s="4">
        <v>56</v>
      </c>
      <c r="B55" s="44" t="s">
        <v>536</v>
      </c>
      <c r="C55" s="57" t="s">
        <v>109</v>
      </c>
      <c r="D55" s="4" t="s">
        <v>109</v>
      </c>
      <c r="E55" s="6" t="s">
        <v>109</v>
      </c>
      <c r="F55" s="46" t="s">
        <v>537</v>
      </c>
      <c r="G55" s="4" t="s">
        <v>233</v>
      </c>
      <c r="H55" s="4" t="s">
        <v>112</v>
      </c>
      <c r="I55" s="4" t="s">
        <v>109</v>
      </c>
      <c r="J55" s="4" t="s">
        <v>109</v>
      </c>
      <c r="K55" s="4" t="s">
        <v>114</v>
      </c>
      <c r="L55" s="4" t="s">
        <v>194</v>
      </c>
      <c r="M55" s="4" t="s">
        <v>109</v>
      </c>
      <c r="N55" s="4" t="s">
        <v>109</v>
      </c>
      <c r="O55" s="4" t="s">
        <v>109</v>
      </c>
      <c r="Q55" s="4" t="s">
        <v>109</v>
      </c>
      <c r="R55" s="4" t="s">
        <v>109</v>
      </c>
      <c r="S55" s="4" t="s">
        <v>109</v>
      </c>
      <c r="T55" s="4" t="s">
        <v>109</v>
      </c>
      <c r="U55" s="4" t="s">
        <v>116</v>
      </c>
      <c r="V55" s="4" t="s">
        <v>3022</v>
      </c>
      <c r="W55" s="4" t="b">
        <v>0</v>
      </c>
      <c r="X55" s="4" t="s">
        <v>109</v>
      </c>
      <c r="Y55" s="4" t="s">
        <v>535</v>
      </c>
      <c r="AA55" s="4" t="s">
        <v>118</v>
      </c>
      <c r="AB55" s="4" t="s">
        <v>118</v>
      </c>
      <c r="AC55" s="4" t="s">
        <v>119</v>
      </c>
      <c r="AD55" s="4" t="s">
        <v>109</v>
      </c>
      <c r="AE55" s="4">
        <v>4.3</v>
      </c>
      <c r="AF55" s="4" t="s">
        <v>3023</v>
      </c>
      <c r="AG55" s="5" t="s">
        <v>3214</v>
      </c>
      <c r="AH55" s="5" t="s">
        <v>3025</v>
      </c>
      <c r="AI55" s="4">
        <v>210</v>
      </c>
      <c r="AJ55" s="4" t="s">
        <v>3215</v>
      </c>
      <c r="AK55" s="4" t="s">
        <v>121</v>
      </c>
      <c r="AL55" s="4" t="s">
        <v>3027</v>
      </c>
      <c r="AM55" s="69">
        <v>45247</v>
      </c>
      <c r="AN55" s="4" t="s">
        <v>122</v>
      </c>
      <c r="AO55" s="4" t="s">
        <v>109</v>
      </c>
      <c r="AP55" s="217" t="s">
        <v>109</v>
      </c>
      <c r="AQ55" s="4" t="b">
        <v>0</v>
      </c>
      <c r="AR55" s="4" t="s">
        <v>109</v>
      </c>
      <c r="AS55" s="4" t="s">
        <v>109</v>
      </c>
      <c r="AT55" s="4" t="s">
        <v>118</v>
      </c>
      <c r="AU55" s="4" t="b">
        <v>0</v>
      </c>
      <c r="AV55" s="4" t="s">
        <v>109</v>
      </c>
      <c r="AW55" s="4" t="s">
        <v>118</v>
      </c>
      <c r="AY55" s="4" t="s">
        <v>124</v>
      </c>
      <c r="AZ55" s="4" t="s">
        <v>539</v>
      </c>
      <c r="BA55" s="4" t="s">
        <v>118</v>
      </c>
      <c r="BB55" s="4" t="s">
        <v>118</v>
      </c>
      <c r="BC55" s="4" t="s">
        <v>109</v>
      </c>
      <c r="BD55" s="69" t="s">
        <v>109</v>
      </c>
      <c r="BE55" s="6" t="s">
        <v>109</v>
      </c>
      <c r="BF55" s="4" t="s">
        <v>109</v>
      </c>
      <c r="BG55" s="4" t="s">
        <v>126</v>
      </c>
      <c r="BH55" s="4" t="s">
        <v>109</v>
      </c>
      <c r="BI55" s="69" t="s">
        <v>109</v>
      </c>
      <c r="BJ55" s="69">
        <v>45657</v>
      </c>
      <c r="BK55" s="69" t="s">
        <v>109</v>
      </c>
      <c r="BL55" s="97" t="s">
        <v>109</v>
      </c>
      <c r="BM55" s="4" t="s">
        <v>109</v>
      </c>
      <c r="BN55" s="4" t="b">
        <v>1</v>
      </c>
      <c r="BO55" s="130" t="s">
        <v>118</v>
      </c>
      <c r="BP55" s="4" t="s">
        <v>128</v>
      </c>
      <c r="CF55" s="4" t="s">
        <v>129</v>
      </c>
      <c r="CS55" s="144"/>
      <c r="CU55" s="216" t="s">
        <v>3187</v>
      </c>
      <c r="CW55" s="4" t="s">
        <v>3029</v>
      </c>
      <c r="CX55" s="39"/>
    </row>
    <row r="56" spans="1:102" ht="52.8" x14ac:dyDescent="0.3">
      <c r="A56" s="2">
        <v>57</v>
      </c>
      <c r="B56" s="43" t="s">
        <v>541</v>
      </c>
      <c r="C56" s="51">
        <v>33.015999999999998</v>
      </c>
      <c r="D56" s="51">
        <v>-117.276</v>
      </c>
      <c r="E56" s="2" t="s">
        <v>542</v>
      </c>
      <c r="F56" s="47" t="s">
        <v>543</v>
      </c>
      <c r="G56" s="67" t="s">
        <v>233</v>
      </c>
      <c r="H56" s="67" t="s">
        <v>112</v>
      </c>
      <c r="I56" s="67" t="s">
        <v>112</v>
      </c>
      <c r="J56" s="67" t="s">
        <v>109</v>
      </c>
      <c r="K56" s="67" t="s">
        <v>114</v>
      </c>
      <c r="L56" s="67" t="s">
        <v>207</v>
      </c>
      <c r="M56" s="67" t="s">
        <v>109</v>
      </c>
      <c r="N56" s="67" t="s">
        <v>109</v>
      </c>
      <c r="O56" s="74">
        <v>45314</v>
      </c>
      <c r="Q56" s="7" t="s">
        <v>109</v>
      </c>
      <c r="R56" s="67" t="s">
        <v>109</v>
      </c>
      <c r="S56" s="67" t="s">
        <v>109</v>
      </c>
      <c r="T56" s="67" t="s">
        <v>109</v>
      </c>
      <c r="U56" s="2" t="s">
        <v>116</v>
      </c>
      <c r="V56" s="2" t="s">
        <v>117</v>
      </c>
      <c r="W56" s="2" t="b">
        <v>0</v>
      </c>
      <c r="X56" s="2" t="s">
        <v>109</v>
      </c>
      <c r="Y56" s="2" t="s">
        <v>535</v>
      </c>
      <c r="AA56" s="2">
        <v>8.0500000000000007</v>
      </c>
      <c r="AB56" s="2" t="s">
        <v>109</v>
      </c>
      <c r="AC56" s="2" t="s">
        <v>109</v>
      </c>
      <c r="AD56" s="2" t="s">
        <v>109</v>
      </c>
      <c r="AE56" s="2">
        <v>4.3</v>
      </c>
      <c r="AF56" s="2" t="s">
        <v>3216</v>
      </c>
      <c r="AG56" s="3" t="s">
        <v>3214</v>
      </c>
      <c r="AH56" s="3" t="s">
        <v>3217</v>
      </c>
      <c r="AI56" s="2">
        <v>1</v>
      </c>
      <c r="AJ56" s="2" t="s">
        <v>3215</v>
      </c>
      <c r="AK56" s="2" t="s">
        <v>121</v>
      </c>
      <c r="AL56" s="2" t="s">
        <v>3027</v>
      </c>
      <c r="AM56" s="68">
        <v>43850</v>
      </c>
      <c r="AN56" s="2" t="s">
        <v>122</v>
      </c>
      <c r="AO56" s="2" t="s">
        <v>109</v>
      </c>
      <c r="AP56" s="109" t="s">
        <v>109</v>
      </c>
      <c r="AQ56" s="2" t="b">
        <v>0</v>
      </c>
      <c r="AR56" s="2" t="s">
        <v>109</v>
      </c>
      <c r="AS56" s="2" t="s">
        <v>109</v>
      </c>
      <c r="AT56" s="2" t="s">
        <v>109</v>
      </c>
      <c r="AU56" s="2" t="b">
        <v>0</v>
      </c>
      <c r="AV56" s="2" t="s">
        <v>109</v>
      </c>
      <c r="AW56" s="2" t="s">
        <v>109</v>
      </c>
      <c r="AY56" s="2" t="s">
        <v>109</v>
      </c>
      <c r="AZ56" s="2" t="s">
        <v>109</v>
      </c>
      <c r="BA56" s="2" t="s">
        <v>109</v>
      </c>
      <c r="BB56" s="2" t="s">
        <v>109</v>
      </c>
      <c r="BC56" s="2" t="s">
        <v>135</v>
      </c>
      <c r="BD56" s="2" t="s">
        <v>109</v>
      </c>
      <c r="BE56" s="2" t="s">
        <v>109</v>
      </c>
      <c r="BF56" s="2" t="s">
        <v>109</v>
      </c>
      <c r="BG56" s="2" t="s">
        <v>546</v>
      </c>
      <c r="BH56" s="2" t="s">
        <v>109</v>
      </c>
      <c r="BI56" s="76">
        <v>46449</v>
      </c>
      <c r="BJ56" s="68">
        <v>44499</v>
      </c>
      <c r="BK56" s="76">
        <v>46631</v>
      </c>
      <c r="BL56" s="98" t="s">
        <v>109</v>
      </c>
      <c r="BM56" s="98" t="s">
        <v>109</v>
      </c>
      <c r="BN56" s="98" t="b">
        <v>0</v>
      </c>
      <c r="BO56" s="85" t="s">
        <v>118</v>
      </c>
      <c r="BP56" s="2" t="s">
        <v>128</v>
      </c>
      <c r="CF56" s="2" t="s">
        <v>109</v>
      </c>
      <c r="CS56" s="142" t="s">
        <v>550</v>
      </c>
      <c r="CU56" s="132" t="s">
        <v>3187</v>
      </c>
      <c r="CW56" s="2" t="s">
        <v>3218</v>
      </c>
      <c r="CX56" s="38"/>
    </row>
    <row r="57" spans="1:102" ht="66" x14ac:dyDescent="0.3">
      <c r="A57" s="4">
        <v>58</v>
      </c>
      <c r="B57" s="44" t="s">
        <v>551</v>
      </c>
      <c r="C57" s="53">
        <v>33.212000000000003</v>
      </c>
      <c r="D57" s="53">
        <v>-117.33499999999999</v>
      </c>
      <c r="E57" s="4" t="s">
        <v>552</v>
      </c>
      <c r="F57" s="46" t="s">
        <v>553</v>
      </c>
      <c r="G57" s="64" t="s">
        <v>233</v>
      </c>
      <c r="H57" s="64" t="s">
        <v>112</v>
      </c>
      <c r="I57" s="64" t="s">
        <v>112</v>
      </c>
      <c r="J57" s="64" t="s">
        <v>109</v>
      </c>
      <c r="K57" s="64" t="s">
        <v>114</v>
      </c>
      <c r="L57" s="64" t="s">
        <v>207</v>
      </c>
      <c r="M57" s="64" t="s">
        <v>109</v>
      </c>
      <c r="N57" s="64" t="s">
        <v>109</v>
      </c>
      <c r="O57" s="66">
        <v>45307.5</v>
      </c>
      <c r="Q57" s="6" t="s">
        <v>109</v>
      </c>
      <c r="R57" s="64" t="s">
        <v>109</v>
      </c>
      <c r="S57" s="64" t="s">
        <v>109</v>
      </c>
      <c r="T57" s="64" t="s">
        <v>109</v>
      </c>
      <c r="U57" s="4" t="s">
        <v>116</v>
      </c>
      <c r="V57" s="4" t="s">
        <v>117</v>
      </c>
      <c r="W57" s="4" t="b">
        <v>0</v>
      </c>
      <c r="X57" s="4" t="s">
        <v>109</v>
      </c>
      <c r="Y57" s="4" t="s">
        <v>535</v>
      </c>
      <c r="AA57" s="4">
        <v>9</v>
      </c>
      <c r="AB57" s="4" t="s">
        <v>109</v>
      </c>
      <c r="AC57" s="4" t="s">
        <v>180</v>
      </c>
      <c r="AD57" s="4" t="s">
        <v>180</v>
      </c>
      <c r="AE57" s="4">
        <v>4.3</v>
      </c>
      <c r="AF57" s="4" t="s">
        <v>3219</v>
      </c>
      <c r="AG57" s="5" t="s">
        <v>3214</v>
      </c>
      <c r="AH57" s="5" t="s">
        <v>3220</v>
      </c>
      <c r="AI57" s="4">
        <v>1</v>
      </c>
      <c r="AJ57" s="4" t="s">
        <v>3215</v>
      </c>
      <c r="AK57" s="4" t="s">
        <v>121</v>
      </c>
      <c r="AL57" s="4" t="s">
        <v>3027</v>
      </c>
      <c r="AM57" s="69">
        <v>43584</v>
      </c>
      <c r="AN57" s="4" t="s">
        <v>122</v>
      </c>
      <c r="AO57" s="4" t="s">
        <v>109</v>
      </c>
      <c r="AP57" s="217" t="s">
        <v>109</v>
      </c>
      <c r="AQ57" s="4" t="b">
        <v>0</v>
      </c>
      <c r="AR57" s="4" t="s">
        <v>109</v>
      </c>
      <c r="AS57" s="4" t="s">
        <v>109</v>
      </c>
      <c r="AT57" s="4" t="s">
        <v>109</v>
      </c>
      <c r="AU57" s="4" t="b">
        <v>0</v>
      </c>
      <c r="AV57" s="4" t="s">
        <v>109</v>
      </c>
      <c r="AW57" s="4" t="s">
        <v>109</v>
      </c>
      <c r="AY57" s="4" t="s">
        <v>109</v>
      </c>
      <c r="AZ57" s="4" t="s">
        <v>109</v>
      </c>
      <c r="BA57" s="4" t="s">
        <v>109</v>
      </c>
      <c r="BB57" s="4" t="s">
        <v>109</v>
      </c>
      <c r="BC57" s="4" t="s">
        <v>135</v>
      </c>
      <c r="BD57" s="4" t="s">
        <v>109</v>
      </c>
      <c r="BE57" s="4" t="s">
        <v>109</v>
      </c>
      <c r="BF57" s="4" t="s">
        <v>109</v>
      </c>
      <c r="BG57" s="4" t="s">
        <v>126</v>
      </c>
      <c r="BH57" s="4" t="s">
        <v>109</v>
      </c>
      <c r="BI57" s="75">
        <v>43703</v>
      </c>
      <c r="BJ57" s="69">
        <v>43921</v>
      </c>
      <c r="BK57" s="75">
        <v>43827</v>
      </c>
      <c r="BL57" s="97" t="s">
        <v>109</v>
      </c>
      <c r="BM57" s="97" t="s">
        <v>109</v>
      </c>
      <c r="BN57" s="97" t="b">
        <v>0</v>
      </c>
      <c r="BO57" s="130" t="s">
        <v>118</v>
      </c>
      <c r="BP57" s="4" t="s">
        <v>128</v>
      </c>
      <c r="CF57" s="4" t="s">
        <v>189</v>
      </c>
      <c r="CS57" s="143" t="s">
        <v>3221</v>
      </c>
      <c r="CU57" s="216" t="s">
        <v>3187</v>
      </c>
      <c r="CW57" s="4" t="s">
        <v>3222</v>
      </c>
      <c r="CX57" s="39"/>
    </row>
    <row r="58" spans="1:102" ht="52.8" x14ac:dyDescent="0.3">
      <c r="A58" s="2">
        <v>59</v>
      </c>
      <c r="B58" s="43" t="s">
        <v>559</v>
      </c>
      <c r="C58" s="51">
        <v>32.652000000000001</v>
      </c>
      <c r="D58" s="51">
        <v>-117.001</v>
      </c>
      <c r="E58" s="2" t="s">
        <v>177</v>
      </c>
      <c r="F58" s="47" t="s">
        <v>560</v>
      </c>
      <c r="G58" s="67" t="s">
        <v>233</v>
      </c>
      <c r="H58" s="67" t="s">
        <v>112</v>
      </c>
      <c r="I58" s="67" t="s">
        <v>112</v>
      </c>
      <c r="J58" s="67" t="s">
        <v>109</v>
      </c>
      <c r="K58" s="67" t="s">
        <v>114</v>
      </c>
      <c r="L58" s="67" t="s">
        <v>207</v>
      </c>
      <c r="M58" s="67" t="s">
        <v>109</v>
      </c>
      <c r="N58" s="67" t="s">
        <v>109</v>
      </c>
      <c r="O58" s="74">
        <v>45558</v>
      </c>
      <c r="Q58" s="7" t="s">
        <v>109</v>
      </c>
      <c r="R58" s="67" t="s">
        <v>109</v>
      </c>
      <c r="S58" s="67" t="s">
        <v>109</v>
      </c>
      <c r="T58" s="67" t="s">
        <v>109</v>
      </c>
      <c r="U58" s="2" t="s">
        <v>116</v>
      </c>
      <c r="V58" s="2" t="s">
        <v>117</v>
      </c>
      <c r="W58" s="2" t="b">
        <v>0</v>
      </c>
      <c r="X58" s="2" t="s">
        <v>109</v>
      </c>
      <c r="Y58" s="2" t="s">
        <v>535</v>
      </c>
      <c r="AA58" s="2">
        <v>3.2</v>
      </c>
      <c r="AB58" s="2" t="s">
        <v>109</v>
      </c>
      <c r="AC58" s="2" t="s">
        <v>109</v>
      </c>
      <c r="AD58" s="2" t="s">
        <v>109</v>
      </c>
      <c r="AE58" s="2">
        <v>4.3</v>
      </c>
      <c r="AF58" s="2" t="s">
        <v>3223</v>
      </c>
      <c r="AG58" s="3" t="s">
        <v>3214</v>
      </c>
      <c r="AH58" s="3" t="s">
        <v>3224</v>
      </c>
      <c r="AI58" s="2">
        <v>1</v>
      </c>
      <c r="AJ58" s="2" t="s">
        <v>3215</v>
      </c>
      <c r="AK58" s="2" t="s">
        <v>121</v>
      </c>
      <c r="AL58" s="2" t="s">
        <v>3027</v>
      </c>
      <c r="AM58" s="68">
        <v>43584</v>
      </c>
      <c r="AN58" s="2" t="s">
        <v>122</v>
      </c>
      <c r="AO58" s="2" t="s">
        <v>109</v>
      </c>
      <c r="AP58" s="109" t="s">
        <v>109</v>
      </c>
      <c r="AQ58" s="2" t="b">
        <v>0</v>
      </c>
      <c r="AR58" s="2" t="s">
        <v>109</v>
      </c>
      <c r="AS58" s="2" t="s">
        <v>109</v>
      </c>
      <c r="AT58" s="2" t="s">
        <v>109</v>
      </c>
      <c r="AU58" s="2" t="b">
        <v>0</v>
      </c>
      <c r="AV58" s="2" t="s">
        <v>109</v>
      </c>
      <c r="AW58" s="2" t="s">
        <v>109</v>
      </c>
      <c r="AY58" s="2" t="s">
        <v>109</v>
      </c>
      <c r="AZ58" s="2" t="s">
        <v>109</v>
      </c>
      <c r="BA58" s="2" t="s">
        <v>109</v>
      </c>
      <c r="BB58" s="2" t="s">
        <v>109</v>
      </c>
      <c r="BC58" s="2" t="s">
        <v>135</v>
      </c>
      <c r="BD58" s="2" t="s">
        <v>109</v>
      </c>
      <c r="BE58" s="2" t="s">
        <v>109</v>
      </c>
      <c r="BF58" s="2" t="s">
        <v>109</v>
      </c>
      <c r="BG58" s="2" t="s">
        <v>126</v>
      </c>
      <c r="BH58" s="2" t="s">
        <v>109</v>
      </c>
      <c r="BI58" s="76">
        <v>43857</v>
      </c>
      <c r="BJ58" s="68">
        <v>43921</v>
      </c>
      <c r="BK58" s="76">
        <v>43917</v>
      </c>
      <c r="BL58" s="98" t="s">
        <v>109</v>
      </c>
      <c r="BM58" s="98" t="s">
        <v>109</v>
      </c>
      <c r="BN58" s="98" t="b">
        <v>0</v>
      </c>
      <c r="BO58" s="85" t="s">
        <v>118</v>
      </c>
      <c r="BP58" s="2" t="s">
        <v>128</v>
      </c>
      <c r="CF58" s="2" t="s">
        <v>189</v>
      </c>
      <c r="CS58" s="142" t="s">
        <v>1579</v>
      </c>
      <c r="CU58" s="132" t="s">
        <v>3187</v>
      </c>
      <c r="CW58" s="2" t="s">
        <v>3225</v>
      </c>
      <c r="CX58" s="38"/>
    </row>
    <row r="59" spans="1:102" ht="66" x14ac:dyDescent="0.3">
      <c r="A59" s="4">
        <v>60</v>
      </c>
      <c r="B59" s="44" t="s">
        <v>565</v>
      </c>
      <c r="C59" s="53">
        <v>32.783999999999999</v>
      </c>
      <c r="D59" s="53">
        <v>-117.14700000000001</v>
      </c>
      <c r="E59" s="4" t="s">
        <v>329</v>
      </c>
      <c r="F59" s="46" t="s">
        <v>566</v>
      </c>
      <c r="G59" s="64" t="s">
        <v>233</v>
      </c>
      <c r="H59" s="64" t="s">
        <v>112</v>
      </c>
      <c r="I59" s="64" t="s">
        <v>112</v>
      </c>
      <c r="J59" s="64" t="s">
        <v>109</v>
      </c>
      <c r="K59" s="64" t="s">
        <v>114</v>
      </c>
      <c r="L59" s="64" t="s">
        <v>207</v>
      </c>
      <c r="M59" s="64" t="s">
        <v>109</v>
      </c>
      <c r="N59" s="64" t="s">
        <v>109</v>
      </c>
      <c r="O59" s="66">
        <v>45335.5</v>
      </c>
      <c r="Q59" s="6" t="s">
        <v>109</v>
      </c>
      <c r="R59" s="64" t="s">
        <v>109</v>
      </c>
      <c r="S59" s="64" t="s">
        <v>109</v>
      </c>
      <c r="T59" s="64" t="s">
        <v>109</v>
      </c>
      <c r="U59" s="4" t="s">
        <v>116</v>
      </c>
      <c r="V59" s="4" t="s">
        <v>117</v>
      </c>
      <c r="W59" s="4" t="b">
        <v>0</v>
      </c>
      <c r="X59" s="4" t="s">
        <v>109</v>
      </c>
      <c r="Y59" s="4" t="s">
        <v>535</v>
      </c>
      <c r="AA59" s="4">
        <v>1.84</v>
      </c>
      <c r="AB59" s="4" t="s">
        <v>109</v>
      </c>
      <c r="AC59" s="4" t="s">
        <v>109</v>
      </c>
      <c r="AD59" s="4" t="s">
        <v>109</v>
      </c>
      <c r="AE59" s="4">
        <v>4.3</v>
      </c>
      <c r="AF59" s="4" t="s">
        <v>3226</v>
      </c>
      <c r="AG59" s="5" t="s">
        <v>3214</v>
      </c>
      <c r="AH59" s="5" t="s">
        <v>3227</v>
      </c>
      <c r="AI59" s="4">
        <v>1</v>
      </c>
      <c r="AJ59" s="4" t="s">
        <v>3215</v>
      </c>
      <c r="AK59" s="4" t="s">
        <v>121</v>
      </c>
      <c r="AL59" s="4" t="s">
        <v>3027</v>
      </c>
      <c r="AM59" s="69">
        <v>43721</v>
      </c>
      <c r="AN59" s="4" t="s">
        <v>122</v>
      </c>
      <c r="AO59" s="4" t="s">
        <v>109</v>
      </c>
      <c r="AP59" s="217" t="s">
        <v>109</v>
      </c>
      <c r="AQ59" s="4" t="b">
        <v>0</v>
      </c>
      <c r="AR59" s="4" t="s">
        <v>109</v>
      </c>
      <c r="AS59" s="4" t="s">
        <v>109</v>
      </c>
      <c r="AT59" s="4" t="s">
        <v>109</v>
      </c>
      <c r="AU59" s="4" t="b">
        <v>0</v>
      </c>
      <c r="AV59" s="4" t="s">
        <v>109</v>
      </c>
      <c r="AW59" s="4" t="s">
        <v>109</v>
      </c>
      <c r="AY59" s="4" t="s">
        <v>109</v>
      </c>
      <c r="AZ59" s="4" t="s">
        <v>109</v>
      </c>
      <c r="BA59" s="4" t="s">
        <v>109</v>
      </c>
      <c r="BB59" s="4" t="s">
        <v>109</v>
      </c>
      <c r="BC59" s="4" t="s">
        <v>135</v>
      </c>
      <c r="BD59" s="4" t="s">
        <v>109</v>
      </c>
      <c r="BE59" s="4" t="s">
        <v>109</v>
      </c>
      <c r="BF59" s="4" t="s">
        <v>109</v>
      </c>
      <c r="BG59" s="4" t="s">
        <v>126</v>
      </c>
      <c r="BH59" s="4" t="s">
        <v>109</v>
      </c>
      <c r="BI59" s="75">
        <v>44089</v>
      </c>
      <c r="BJ59" s="69">
        <v>44469</v>
      </c>
      <c r="BK59" s="75">
        <v>44705</v>
      </c>
      <c r="BL59" s="97" t="s">
        <v>109</v>
      </c>
      <c r="BM59" s="97" t="s">
        <v>109</v>
      </c>
      <c r="BN59" s="4" t="b">
        <v>1</v>
      </c>
      <c r="BO59" s="130" t="s">
        <v>118</v>
      </c>
      <c r="BP59" s="4" t="s">
        <v>128</v>
      </c>
      <c r="CF59" s="4" t="s">
        <v>270</v>
      </c>
      <c r="CS59" s="143" t="s">
        <v>3221</v>
      </c>
      <c r="CU59" s="216" t="s">
        <v>3187</v>
      </c>
      <c r="CW59" s="4" t="s">
        <v>3228</v>
      </c>
      <c r="CX59" s="39"/>
    </row>
    <row r="60" spans="1:102" ht="27" x14ac:dyDescent="0.3">
      <c r="A60" s="2">
        <v>61</v>
      </c>
      <c r="B60" s="43" t="s">
        <v>573</v>
      </c>
      <c r="C60" s="2">
        <v>-117.125</v>
      </c>
      <c r="D60" s="2">
        <v>32.761000000000003</v>
      </c>
      <c r="E60" s="2" t="s">
        <v>410</v>
      </c>
      <c r="F60" s="47" t="s">
        <v>574</v>
      </c>
      <c r="G60" s="67" t="s">
        <v>233</v>
      </c>
      <c r="H60" s="67" t="s">
        <v>112</v>
      </c>
      <c r="I60" s="67" t="s">
        <v>112</v>
      </c>
      <c r="J60" s="67" t="s">
        <v>109</v>
      </c>
      <c r="K60" s="67" t="s">
        <v>114</v>
      </c>
      <c r="L60" s="67" t="s">
        <v>207</v>
      </c>
      <c r="M60" s="67" t="s">
        <v>109</v>
      </c>
      <c r="N60" s="67" t="s">
        <v>109</v>
      </c>
      <c r="O60" s="74">
        <v>45363</v>
      </c>
      <c r="Q60" s="7" t="s">
        <v>575</v>
      </c>
      <c r="R60" s="67" t="s">
        <v>109</v>
      </c>
      <c r="S60" s="67" t="s">
        <v>109</v>
      </c>
      <c r="T60" s="67" t="s">
        <v>109</v>
      </c>
      <c r="U60" s="2" t="s">
        <v>116</v>
      </c>
      <c r="V60" s="2" t="s">
        <v>117</v>
      </c>
      <c r="W60" s="2" t="b">
        <v>0</v>
      </c>
      <c r="X60" s="2" t="s">
        <v>123</v>
      </c>
      <c r="Y60" s="2" t="s">
        <v>535</v>
      </c>
      <c r="AA60" s="2">
        <v>5.28</v>
      </c>
      <c r="AB60" s="2" t="s">
        <v>109</v>
      </c>
      <c r="AC60" s="2" t="s">
        <v>109</v>
      </c>
      <c r="AD60" s="2" t="s">
        <v>109</v>
      </c>
      <c r="AE60" s="2">
        <v>4.3</v>
      </c>
      <c r="AF60" s="2" t="s">
        <v>3229</v>
      </c>
      <c r="AG60" s="3" t="s">
        <v>3214</v>
      </c>
      <c r="AH60" s="3" t="s">
        <v>3230</v>
      </c>
      <c r="AI60" s="2">
        <v>1</v>
      </c>
      <c r="AJ60" s="2" t="s">
        <v>3215</v>
      </c>
      <c r="AK60" s="2" t="s">
        <v>121</v>
      </c>
      <c r="AL60" s="2" t="s">
        <v>3027</v>
      </c>
      <c r="AM60" s="68">
        <v>43871</v>
      </c>
      <c r="AN60" s="2" t="s">
        <v>122</v>
      </c>
      <c r="AO60" s="2">
        <v>2019</v>
      </c>
      <c r="AP60" s="109" t="s">
        <v>109</v>
      </c>
      <c r="AQ60" s="2" t="b">
        <v>0</v>
      </c>
      <c r="AR60" s="2" t="s">
        <v>109</v>
      </c>
      <c r="AS60" s="2" t="s">
        <v>109</v>
      </c>
      <c r="AT60" s="2" t="s">
        <v>109</v>
      </c>
      <c r="AU60" s="2" t="b">
        <v>0</v>
      </c>
      <c r="AV60" s="2" t="s">
        <v>123</v>
      </c>
      <c r="AW60" s="2" t="s">
        <v>118</v>
      </c>
      <c r="AY60" s="2" t="s">
        <v>109</v>
      </c>
      <c r="AZ60" s="2" t="s">
        <v>109</v>
      </c>
      <c r="BA60" s="2" t="s">
        <v>226</v>
      </c>
      <c r="BB60" s="2" t="s">
        <v>109</v>
      </c>
      <c r="BC60" s="2" t="s">
        <v>135</v>
      </c>
      <c r="BD60" s="2" t="s">
        <v>109</v>
      </c>
      <c r="BE60" s="7" t="s">
        <v>109</v>
      </c>
      <c r="BF60" s="2" t="s">
        <v>109</v>
      </c>
      <c r="BG60" s="2" t="s">
        <v>126</v>
      </c>
      <c r="BH60" s="2" t="s">
        <v>109</v>
      </c>
      <c r="BI60" s="76">
        <v>44251</v>
      </c>
      <c r="BJ60" s="68">
        <v>44287</v>
      </c>
      <c r="BK60" s="76">
        <v>44431</v>
      </c>
      <c r="BL60" s="67" t="s">
        <v>109</v>
      </c>
      <c r="BM60" s="67" t="s">
        <v>109</v>
      </c>
      <c r="BN60" s="2" t="b">
        <v>1</v>
      </c>
      <c r="BO60" s="85" t="s">
        <v>118</v>
      </c>
      <c r="BP60" s="2" t="s">
        <v>128</v>
      </c>
      <c r="CF60" s="2" t="s">
        <v>460</v>
      </c>
      <c r="CS60" s="145"/>
      <c r="CU60" s="132" t="s">
        <v>3187</v>
      </c>
      <c r="CW60" s="2" t="s">
        <v>3231</v>
      </c>
      <c r="CX60" s="220" t="s">
        <v>3162</v>
      </c>
    </row>
    <row r="61" spans="1:102" ht="27" x14ac:dyDescent="0.3">
      <c r="A61" s="4">
        <v>62</v>
      </c>
      <c r="B61" s="44" t="s">
        <v>581</v>
      </c>
      <c r="C61" s="4">
        <v>-117.119</v>
      </c>
      <c r="D61" s="4">
        <v>32.835000000000001</v>
      </c>
      <c r="E61" s="4" t="s">
        <v>410</v>
      </c>
      <c r="F61" s="46" t="s">
        <v>582</v>
      </c>
      <c r="G61" s="64" t="s">
        <v>233</v>
      </c>
      <c r="H61" s="64" t="s">
        <v>112</v>
      </c>
      <c r="I61" s="64" t="s">
        <v>112</v>
      </c>
      <c r="J61" s="64" t="s">
        <v>109</v>
      </c>
      <c r="K61" s="64" t="s">
        <v>114</v>
      </c>
      <c r="L61" s="64" t="s">
        <v>207</v>
      </c>
      <c r="M61" s="64" t="s">
        <v>109</v>
      </c>
      <c r="N61" s="64" t="s">
        <v>109</v>
      </c>
      <c r="O61" s="66">
        <v>45367</v>
      </c>
      <c r="Q61" s="6" t="s">
        <v>109</v>
      </c>
      <c r="R61" s="64" t="s">
        <v>109</v>
      </c>
      <c r="S61" s="64" t="s">
        <v>109</v>
      </c>
      <c r="T61" s="64" t="s">
        <v>109</v>
      </c>
      <c r="U61" s="4" t="s">
        <v>116</v>
      </c>
      <c r="V61" s="4" t="s">
        <v>117</v>
      </c>
      <c r="W61" s="4" t="b">
        <v>0</v>
      </c>
      <c r="X61" s="4" t="s">
        <v>123</v>
      </c>
      <c r="Y61" s="4" t="s">
        <v>535</v>
      </c>
      <c r="AA61" s="4">
        <v>2.54</v>
      </c>
      <c r="AB61" s="4" t="s">
        <v>109</v>
      </c>
      <c r="AC61" s="4" t="s">
        <v>109</v>
      </c>
      <c r="AD61" s="4" t="s">
        <v>109</v>
      </c>
      <c r="AE61" s="4">
        <v>4.3</v>
      </c>
      <c r="AF61" s="4" t="s">
        <v>3232</v>
      </c>
      <c r="AG61" s="5" t="s">
        <v>3214</v>
      </c>
      <c r="AH61" s="5" t="s">
        <v>3233</v>
      </c>
      <c r="AI61" s="4">
        <v>1</v>
      </c>
      <c r="AJ61" s="4" t="s">
        <v>3215</v>
      </c>
      <c r="AK61" s="4" t="s">
        <v>121</v>
      </c>
      <c r="AL61" s="4" t="s">
        <v>3027</v>
      </c>
      <c r="AM61" s="69">
        <v>41407</v>
      </c>
      <c r="AN61" s="4" t="s">
        <v>122</v>
      </c>
      <c r="AO61" s="4">
        <v>2019</v>
      </c>
      <c r="AP61" s="217" t="s">
        <v>109</v>
      </c>
      <c r="AQ61" s="4" t="b">
        <v>0</v>
      </c>
      <c r="AR61" s="4" t="s">
        <v>109</v>
      </c>
      <c r="AS61" s="4" t="s">
        <v>109</v>
      </c>
      <c r="AT61" s="4" t="s">
        <v>109</v>
      </c>
      <c r="AU61" s="4" t="b">
        <v>0</v>
      </c>
      <c r="AV61" s="4" t="s">
        <v>123</v>
      </c>
      <c r="AW61" s="4" t="s">
        <v>118</v>
      </c>
      <c r="AY61" s="4" t="s">
        <v>109</v>
      </c>
      <c r="AZ61" s="4" t="s">
        <v>109</v>
      </c>
      <c r="BA61" s="4" t="s">
        <v>226</v>
      </c>
      <c r="BB61" s="4" t="s">
        <v>118</v>
      </c>
      <c r="BC61" s="4" t="s">
        <v>135</v>
      </c>
      <c r="BD61" s="4" t="s">
        <v>109</v>
      </c>
      <c r="BE61" s="6" t="s">
        <v>109</v>
      </c>
      <c r="BF61" s="4" t="s">
        <v>109</v>
      </c>
      <c r="BG61" s="4" t="s">
        <v>397</v>
      </c>
      <c r="BH61" s="4" t="s">
        <v>109</v>
      </c>
      <c r="BI61" s="75">
        <v>46155</v>
      </c>
      <c r="BJ61" s="69">
        <v>41639</v>
      </c>
      <c r="BK61" s="75">
        <v>47036</v>
      </c>
      <c r="BL61" s="64" t="s">
        <v>246</v>
      </c>
      <c r="BM61" s="64" t="s">
        <v>109</v>
      </c>
      <c r="BN61" s="97" t="b">
        <v>0</v>
      </c>
      <c r="BO61" s="130" t="s">
        <v>118</v>
      </c>
      <c r="BP61" s="4" t="s">
        <v>128</v>
      </c>
      <c r="CF61" s="4" t="s">
        <v>109</v>
      </c>
      <c r="CS61" s="221" t="s">
        <v>3234</v>
      </c>
      <c r="CU61" s="216" t="s">
        <v>3187</v>
      </c>
      <c r="CW61" s="4" t="s">
        <v>3235</v>
      </c>
      <c r="CX61" s="222" t="s">
        <v>3162</v>
      </c>
    </row>
    <row r="62" spans="1:102" ht="27" x14ac:dyDescent="0.3">
      <c r="A62" s="2">
        <v>63</v>
      </c>
      <c r="B62" s="43" t="s">
        <v>588</v>
      </c>
      <c r="C62" s="2">
        <v>-117.01600000000001</v>
      </c>
      <c r="D62" s="2">
        <v>32.692999999999998</v>
      </c>
      <c r="E62" s="2" t="s">
        <v>410</v>
      </c>
      <c r="F62" s="47" t="s">
        <v>589</v>
      </c>
      <c r="G62" s="67" t="s">
        <v>233</v>
      </c>
      <c r="H62" s="67" t="s">
        <v>112</v>
      </c>
      <c r="I62" s="67" t="s">
        <v>112</v>
      </c>
      <c r="J62" s="67" t="s">
        <v>109</v>
      </c>
      <c r="K62" s="67" t="s">
        <v>114</v>
      </c>
      <c r="L62" s="67" t="s">
        <v>207</v>
      </c>
      <c r="M62" s="67" t="s">
        <v>109</v>
      </c>
      <c r="N62" s="67" t="s">
        <v>109</v>
      </c>
      <c r="O62" s="74">
        <v>45344</v>
      </c>
      <c r="Q62" s="7" t="s">
        <v>109</v>
      </c>
      <c r="R62" s="67" t="s">
        <v>109</v>
      </c>
      <c r="S62" s="67" t="s">
        <v>109</v>
      </c>
      <c r="T62" s="67" t="s">
        <v>109</v>
      </c>
      <c r="U62" s="2" t="s">
        <v>404</v>
      </c>
      <c r="V62" s="2" t="s">
        <v>117</v>
      </c>
      <c r="W62" s="2" t="b">
        <v>0</v>
      </c>
      <c r="X62" s="2" t="s">
        <v>123</v>
      </c>
      <c r="Y62" s="2" t="s">
        <v>535</v>
      </c>
      <c r="AA62" s="2">
        <v>7.484</v>
      </c>
      <c r="AB62" s="2" t="s">
        <v>109</v>
      </c>
      <c r="AC62" s="2" t="s">
        <v>109</v>
      </c>
      <c r="AD62" s="2" t="s">
        <v>109</v>
      </c>
      <c r="AE62" s="2">
        <v>4.3</v>
      </c>
      <c r="AF62" s="2" t="s">
        <v>3236</v>
      </c>
      <c r="AG62" s="3" t="s">
        <v>3214</v>
      </c>
      <c r="AH62" s="3" t="s">
        <v>3237</v>
      </c>
      <c r="AI62" s="2">
        <v>1</v>
      </c>
      <c r="AJ62" s="2" t="s">
        <v>3215</v>
      </c>
      <c r="AK62" s="2" t="s">
        <v>121</v>
      </c>
      <c r="AL62" s="2" t="s">
        <v>3027</v>
      </c>
      <c r="AM62" s="68">
        <v>43200</v>
      </c>
      <c r="AN62" s="2" t="s">
        <v>122</v>
      </c>
      <c r="AO62" s="2">
        <v>2019</v>
      </c>
      <c r="AP62" s="109" t="s">
        <v>109</v>
      </c>
      <c r="AQ62" s="2" t="b">
        <v>0</v>
      </c>
      <c r="AR62" s="2" t="s">
        <v>109</v>
      </c>
      <c r="AS62" s="2" t="s">
        <v>109</v>
      </c>
      <c r="AT62" s="2" t="s">
        <v>109</v>
      </c>
      <c r="AU62" s="2" t="b">
        <v>0</v>
      </c>
      <c r="AV62" s="2" t="s">
        <v>123</v>
      </c>
      <c r="AW62" s="2" t="s">
        <v>118</v>
      </c>
      <c r="AY62" s="2" t="s">
        <v>109</v>
      </c>
      <c r="AZ62" s="2" t="s">
        <v>109</v>
      </c>
      <c r="BA62" s="2" t="s">
        <v>226</v>
      </c>
      <c r="BB62" s="2" t="s">
        <v>118</v>
      </c>
      <c r="BC62" s="2" t="s">
        <v>135</v>
      </c>
      <c r="BD62" s="2" t="s">
        <v>109</v>
      </c>
      <c r="BE62" s="7" t="s">
        <v>109</v>
      </c>
      <c r="BF62" s="2" t="s">
        <v>109</v>
      </c>
      <c r="BG62" s="2" t="s">
        <v>397</v>
      </c>
      <c r="BH62" s="2" t="s">
        <v>109</v>
      </c>
      <c r="BI62" s="76">
        <v>45777</v>
      </c>
      <c r="BJ62" s="68">
        <v>43800</v>
      </c>
      <c r="BK62" s="76">
        <v>46330</v>
      </c>
      <c r="BL62" s="67" t="s">
        <v>246</v>
      </c>
      <c r="BM62" s="67" t="s">
        <v>109</v>
      </c>
      <c r="BN62" s="98" t="b">
        <v>0</v>
      </c>
      <c r="BO62" s="85" t="s">
        <v>118</v>
      </c>
      <c r="BP62" s="2" t="s">
        <v>128</v>
      </c>
      <c r="CF62" s="2" t="s">
        <v>109</v>
      </c>
      <c r="CS62" s="145" t="s">
        <v>3234</v>
      </c>
      <c r="CU62" s="132" t="s">
        <v>3187</v>
      </c>
      <c r="CW62" s="2" t="s">
        <v>3238</v>
      </c>
      <c r="CX62" s="220" t="s">
        <v>3162</v>
      </c>
    </row>
    <row r="63" spans="1:102" ht="27" x14ac:dyDescent="0.3">
      <c r="A63" s="4">
        <v>64</v>
      </c>
      <c r="B63" s="44" t="s">
        <v>595</v>
      </c>
      <c r="C63" s="4">
        <v>-117.383</v>
      </c>
      <c r="D63" s="4">
        <v>33.209000000000003</v>
      </c>
      <c r="E63" s="4" t="s">
        <v>596</v>
      </c>
      <c r="F63" s="46" t="s">
        <v>597</v>
      </c>
      <c r="G63" s="64" t="s">
        <v>233</v>
      </c>
      <c r="H63" s="64" t="s">
        <v>112</v>
      </c>
      <c r="I63" s="64" t="s">
        <v>112</v>
      </c>
      <c r="J63" s="64" t="s">
        <v>109</v>
      </c>
      <c r="K63" s="64" t="s">
        <v>114</v>
      </c>
      <c r="L63" s="64" t="s">
        <v>207</v>
      </c>
      <c r="M63" s="64" t="s">
        <v>109</v>
      </c>
      <c r="N63" s="64" t="s">
        <v>109</v>
      </c>
      <c r="O63" s="66">
        <v>45498</v>
      </c>
      <c r="Q63" s="6" t="s">
        <v>109</v>
      </c>
      <c r="R63" s="64" t="s">
        <v>109</v>
      </c>
      <c r="S63" s="64" t="s">
        <v>109</v>
      </c>
      <c r="T63" s="64" t="s">
        <v>109</v>
      </c>
      <c r="U63" s="4" t="s">
        <v>116</v>
      </c>
      <c r="V63" s="4" t="s">
        <v>117</v>
      </c>
      <c r="W63" s="4" t="b">
        <v>0</v>
      </c>
      <c r="X63" s="4" t="s">
        <v>123</v>
      </c>
      <c r="Y63" s="4" t="s">
        <v>535</v>
      </c>
      <c r="AA63" s="4">
        <v>1.49</v>
      </c>
      <c r="AB63" s="4" t="s">
        <v>109</v>
      </c>
      <c r="AC63" s="4" t="s">
        <v>109</v>
      </c>
      <c r="AD63" s="4" t="s">
        <v>109</v>
      </c>
      <c r="AE63" s="4">
        <v>4.3</v>
      </c>
      <c r="AF63" s="4" t="s">
        <v>3239</v>
      </c>
      <c r="AG63" s="5" t="s">
        <v>3214</v>
      </c>
      <c r="AH63" s="5" t="s">
        <v>3240</v>
      </c>
      <c r="AI63" s="4">
        <v>1</v>
      </c>
      <c r="AJ63" s="4" t="s">
        <v>3215</v>
      </c>
      <c r="AK63" s="4" t="s">
        <v>121</v>
      </c>
      <c r="AL63" s="4" t="s">
        <v>3027</v>
      </c>
      <c r="AM63" s="69">
        <v>43857</v>
      </c>
      <c r="AN63" s="4" t="s">
        <v>122</v>
      </c>
      <c r="AO63" s="4">
        <v>2019</v>
      </c>
      <c r="AP63" s="217" t="s">
        <v>109</v>
      </c>
      <c r="AQ63" s="4" t="b">
        <v>0</v>
      </c>
      <c r="AR63" s="4" t="s">
        <v>109</v>
      </c>
      <c r="AS63" s="4" t="s">
        <v>109</v>
      </c>
      <c r="AT63" s="4" t="s">
        <v>109</v>
      </c>
      <c r="AU63" s="4" t="b">
        <v>0</v>
      </c>
      <c r="AV63" s="4" t="s">
        <v>123</v>
      </c>
      <c r="AW63" s="4" t="s">
        <v>118</v>
      </c>
      <c r="AY63" s="4" t="s">
        <v>109</v>
      </c>
      <c r="AZ63" s="4" t="s">
        <v>109</v>
      </c>
      <c r="BA63" s="4" t="s">
        <v>226</v>
      </c>
      <c r="BB63" s="4" t="s">
        <v>118</v>
      </c>
      <c r="BC63" s="4" t="s">
        <v>135</v>
      </c>
      <c r="BD63" s="4" t="s">
        <v>109</v>
      </c>
      <c r="BE63" s="6" t="s">
        <v>109</v>
      </c>
      <c r="BF63" s="4" t="s">
        <v>109</v>
      </c>
      <c r="BG63" s="4" t="s">
        <v>126</v>
      </c>
      <c r="BH63" s="4" t="s">
        <v>109</v>
      </c>
      <c r="BI63" s="75">
        <v>44505</v>
      </c>
      <c r="BJ63" s="69">
        <v>44136</v>
      </c>
      <c r="BK63" s="75">
        <v>44832</v>
      </c>
      <c r="BL63" s="64" t="s">
        <v>109</v>
      </c>
      <c r="BM63" s="64" t="s">
        <v>109</v>
      </c>
      <c r="BN63" s="4" t="b">
        <v>1</v>
      </c>
      <c r="BO63" s="130" t="s">
        <v>118</v>
      </c>
      <c r="BP63" s="4" t="s">
        <v>128</v>
      </c>
      <c r="CF63" s="4" t="s">
        <v>270</v>
      </c>
      <c r="CS63" s="144"/>
      <c r="CU63" s="216" t="s">
        <v>3187</v>
      </c>
      <c r="CW63" s="4" t="s">
        <v>3241</v>
      </c>
      <c r="CX63" s="220" t="s">
        <v>3162</v>
      </c>
    </row>
    <row r="64" spans="1:102" x14ac:dyDescent="0.3">
      <c r="A64" s="2">
        <v>65</v>
      </c>
      <c r="B64" s="109" t="s">
        <v>3242</v>
      </c>
      <c r="C64" s="55"/>
      <c r="D64" s="2"/>
      <c r="E64" s="2"/>
      <c r="F64" s="47"/>
      <c r="G64" s="67"/>
      <c r="H64" s="67"/>
      <c r="I64" s="67"/>
      <c r="J64" s="67"/>
      <c r="K64" s="67"/>
      <c r="L64" s="67"/>
      <c r="M64" s="67"/>
      <c r="N64" s="67"/>
      <c r="O64" s="67"/>
      <c r="Q64" s="67"/>
      <c r="R64" s="67"/>
      <c r="S64" s="67"/>
      <c r="T64" s="67"/>
      <c r="U64" s="86"/>
      <c r="V64" s="2"/>
      <c r="W64" s="2"/>
      <c r="X64" s="2"/>
      <c r="Y64" s="2" t="s">
        <v>535</v>
      </c>
      <c r="AA64" s="2"/>
      <c r="AB64" s="2"/>
      <c r="AC64" s="2"/>
      <c r="AD64" s="90"/>
      <c r="AE64" s="2"/>
      <c r="AF64" s="2" t="s">
        <v>3243</v>
      </c>
      <c r="AG64" s="3" t="s">
        <v>3214</v>
      </c>
      <c r="AH64" s="3" t="s">
        <v>3244</v>
      </c>
      <c r="AI64" s="2"/>
      <c r="AJ64" s="2" t="s">
        <v>3215</v>
      </c>
      <c r="AK64" s="2"/>
      <c r="AL64" s="2" t="s">
        <v>3053</v>
      </c>
      <c r="AM64" s="68"/>
      <c r="AN64" s="90"/>
      <c r="AO64" s="2"/>
      <c r="AP64" s="109"/>
      <c r="AQ64" s="2"/>
      <c r="AR64" s="2"/>
      <c r="AS64" s="2"/>
      <c r="AT64" s="2"/>
      <c r="AU64" s="90"/>
      <c r="AV64" s="2"/>
      <c r="AW64" s="2"/>
      <c r="AY64" s="2"/>
      <c r="AZ64" s="2"/>
      <c r="BA64" s="2"/>
      <c r="BB64" s="2"/>
      <c r="BC64" s="2" t="s">
        <v>135</v>
      </c>
      <c r="BD64" s="2"/>
      <c r="BE64" s="2"/>
      <c r="BF64" s="2"/>
      <c r="BG64" s="2"/>
      <c r="BH64" s="2"/>
      <c r="BI64" s="68">
        <v>45488</v>
      </c>
      <c r="BJ64" s="68"/>
      <c r="BK64" s="68">
        <v>45902</v>
      </c>
      <c r="BL64" s="98"/>
      <c r="BM64" s="2"/>
      <c r="BN64" s="2"/>
      <c r="BO64" s="90"/>
      <c r="BP64" s="2"/>
      <c r="CF64" s="2"/>
      <c r="CS64" s="146"/>
      <c r="CU64" s="132" t="s">
        <v>3187</v>
      </c>
      <c r="CW64" s="2" t="s">
        <v>3054</v>
      </c>
      <c r="CX64" s="38"/>
    </row>
    <row r="65" spans="1:102" x14ac:dyDescent="0.3">
      <c r="A65" s="4">
        <v>66</v>
      </c>
      <c r="B65" s="217" t="s">
        <v>3245</v>
      </c>
      <c r="C65" s="56"/>
      <c r="D65" s="4"/>
      <c r="E65" s="4"/>
      <c r="F65" s="46"/>
      <c r="G65" s="64"/>
      <c r="H65" s="64"/>
      <c r="I65" s="64"/>
      <c r="J65" s="64"/>
      <c r="K65" s="64"/>
      <c r="L65" s="64"/>
      <c r="M65" s="64"/>
      <c r="N65" s="64"/>
      <c r="O65" s="64"/>
      <c r="Q65" s="64"/>
      <c r="R65" s="64"/>
      <c r="S65" s="64"/>
      <c r="T65" s="64"/>
      <c r="U65" s="87"/>
      <c r="V65" s="4"/>
      <c r="W65" s="4"/>
      <c r="X65" s="4"/>
      <c r="Y65" s="4" t="s">
        <v>535</v>
      </c>
      <c r="AA65" s="4"/>
      <c r="AB65" s="4"/>
      <c r="AC65" s="4"/>
      <c r="AD65" s="91"/>
      <c r="AE65" s="4"/>
      <c r="AF65" s="4" t="s">
        <v>3246</v>
      </c>
      <c r="AG65" s="5" t="s">
        <v>3214</v>
      </c>
      <c r="AH65" s="5" t="s">
        <v>3247</v>
      </c>
      <c r="AI65" s="4"/>
      <c r="AJ65" s="4" t="s">
        <v>3215</v>
      </c>
      <c r="AK65" s="4"/>
      <c r="AL65" s="4" t="s">
        <v>3053</v>
      </c>
      <c r="AM65" s="69"/>
      <c r="AN65" s="91"/>
      <c r="AO65" s="4"/>
      <c r="AP65" s="217"/>
      <c r="AQ65" s="4"/>
      <c r="AR65" s="4"/>
      <c r="AS65" s="4"/>
      <c r="AT65" s="4"/>
      <c r="AU65" s="91"/>
      <c r="AV65" s="4"/>
      <c r="AW65" s="4"/>
      <c r="AY65" s="4"/>
      <c r="AZ65" s="4"/>
      <c r="BA65" s="4"/>
      <c r="BB65" s="4"/>
      <c r="BC65" s="4" t="s">
        <v>135</v>
      </c>
      <c r="BD65" s="4"/>
      <c r="BE65" s="4"/>
      <c r="BF65" s="4"/>
      <c r="BG65" s="4"/>
      <c r="BH65" s="4"/>
      <c r="BI65" s="69">
        <v>45777</v>
      </c>
      <c r="BJ65" s="69"/>
      <c r="BK65" s="69">
        <v>45961</v>
      </c>
      <c r="BL65" s="97"/>
      <c r="BM65" s="4"/>
      <c r="BN65" s="4"/>
      <c r="BO65" s="91"/>
      <c r="BP65" s="4"/>
      <c r="CF65" s="4"/>
      <c r="CS65" s="147"/>
      <c r="CU65" s="216" t="s">
        <v>3187</v>
      </c>
      <c r="CW65" s="4" t="s">
        <v>3054</v>
      </c>
      <c r="CX65" s="39"/>
    </row>
    <row r="66" spans="1:102" x14ac:dyDescent="0.3">
      <c r="A66" s="2">
        <v>67</v>
      </c>
      <c r="B66" s="109" t="s">
        <v>3248</v>
      </c>
      <c r="C66" s="55"/>
      <c r="D66" s="2"/>
      <c r="E66" s="2"/>
      <c r="F66" s="47"/>
      <c r="G66" s="67"/>
      <c r="H66" s="67"/>
      <c r="I66" s="67"/>
      <c r="J66" s="67"/>
      <c r="K66" s="67"/>
      <c r="L66" s="67"/>
      <c r="M66" s="67"/>
      <c r="N66" s="67"/>
      <c r="O66" s="67"/>
      <c r="Q66" s="67"/>
      <c r="R66" s="67"/>
      <c r="S66" s="67"/>
      <c r="T66" s="67"/>
      <c r="U66" s="86"/>
      <c r="V66" s="2"/>
      <c r="W66" s="2"/>
      <c r="X66" s="2"/>
      <c r="Y66" s="2" t="s">
        <v>535</v>
      </c>
      <c r="AA66" s="2"/>
      <c r="AB66" s="2"/>
      <c r="AC66" s="2"/>
      <c r="AD66" s="90"/>
      <c r="AE66" s="2"/>
      <c r="AF66" s="2" t="s">
        <v>3249</v>
      </c>
      <c r="AG66" s="3" t="s">
        <v>3214</v>
      </c>
      <c r="AH66" s="3" t="s">
        <v>3250</v>
      </c>
      <c r="AI66" s="2"/>
      <c r="AJ66" s="2" t="s">
        <v>3215</v>
      </c>
      <c r="AK66" s="2"/>
      <c r="AL66" s="2" t="s">
        <v>3053</v>
      </c>
      <c r="AM66" s="68"/>
      <c r="AN66" s="90"/>
      <c r="AO66" s="2"/>
      <c r="AP66" s="109"/>
      <c r="AQ66" s="2"/>
      <c r="AR66" s="2"/>
      <c r="AS66" s="2"/>
      <c r="AT66" s="2"/>
      <c r="AU66" s="90"/>
      <c r="AV66" s="2"/>
      <c r="AW66" s="2"/>
      <c r="AY66" s="2"/>
      <c r="AZ66" s="2"/>
      <c r="BA66" s="2"/>
      <c r="BB66" s="2"/>
      <c r="BC66" s="2" t="s">
        <v>135</v>
      </c>
      <c r="BD66" s="2"/>
      <c r="BE66" s="2"/>
      <c r="BF66" s="2"/>
      <c r="BG66" s="2"/>
      <c r="BH66" s="2"/>
      <c r="BI66" s="68">
        <v>46037</v>
      </c>
      <c r="BJ66" s="68"/>
      <c r="BK66" s="68">
        <v>46342</v>
      </c>
      <c r="BL66" s="98"/>
      <c r="BM66" s="2"/>
      <c r="BN66" s="2"/>
      <c r="BO66" s="90"/>
      <c r="BP66" s="2"/>
      <c r="CF66" s="2"/>
      <c r="CS66" s="146"/>
      <c r="CU66" s="132" t="s">
        <v>3187</v>
      </c>
      <c r="CW66" s="2" t="s">
        <v>3251</v>
      </c>
      <c r="CX66" s="38"/>
    </row>
    <row r="67" spans="1:102" x14ac:dyDescent="0.3">
      <c r="A67" s="4">
        <v>68</v>
      </c>
      <c r="B67" s="217" t="s">
        <v>3252</v>
      </c>
      <c r="C67" s="56"/>
      <c r="D67" s="4"/>
      <c r="E67" s="4"/>
      <c r="F67" s="46"/>
      <c r="G67" s="64"/>
      <c r="H67" s="64"/>
      <c r="I67" s="64"/>
      <c r="J67" s="64"/>
      <c r="K67" s="64"/>
      <c r="L67" s="64"/>
      <c r="M67" s="64"/>
      <c r="N67" s="64"/>
      <c r="O67" s="64"/>
      <c r="Q67" s="64"/>
      <c r="R67" s="64"/>
      <c r="S67" s="64"/>
      <c r="T67" s="64"/>
      <c r="U67" s="87"/>
      <c r="V67" s="4"/>
      <c r="W67" s="4"/>
      <c r="X67" s="4"/>
      <c r="Y67" s="4" t="s">
        <v>535</v>
      </c>
      <c r="AA67" s="4"/>
      <c r="AB67" s="4"/>
      <c r="AC67" s="4"/>
      <c r="AD67" s="91"/>
      <c r="AE67" s="4"/>
      <c r="AF67" s="4" t="s">
        <v>3253</v>
      </c>
      <c r="AG67" s="5" t="s">
        <v>3214</v>
      </c>
      <c r="AH67" s="5" t="s">
        <v>3254</v>
      </c>
      <c r="AI67" s="4"/>
      <c r="AJ67" s="4" t="s">
        <v>3215</v>
      </c>
      <c r="AK67" s="4"/>
      <c r="AL67" s="4" t="s">
        <v>3053</v>
      </c>
      <c r="AM67" s="69"/>
      <c r="AN67" s="91"/>
      <c r="AO67" s="4"/>
      <c r="AP67" s="217"/>
      <c r="AQ67" s="4"/>
      <c r="AR67" s="4"/>
      <c r="AS67" s="4"/>
      <c r="AT67" s="4"/>
      <c r="AU67" s="91"/>
      <c r="AV67" s="4"/>
      <c r="AW67" s="4"/>
      <c r="AY67" s="4"/>
      <c r="AZ67" s="4"/>
      <c r="BA67" s="4"/>
      <c r="BB67" s="4"/>
      <c r="BC67" s="4" t="s">
        <v>135</v>
      </c>
      <c r="BD67" s="4"/>
      <c r="BE67" s="4"/>
      <c r="BF67" s="4"/>
      <c r="BG67" s="4"/>
      <c r="BH67" s="4"/>
      <c r="BI67" s="69">
        <v>46003</v>
      </c>
      <c r="BJ67" s="69"/>
      <c r="BK67" s="69">
        <v>46829</v>
      </c>
      <c r="BL67" s="97"/>
      <c r="BM67" s="4"/>
      <c r="BN67" s="4"/>
      <c r="BO67" s="91"/>
      <c r="BP67" s="4"/>
      <c r="CF67" s="4"/>
      <c r="CS67" s="147"/>
      <c r="CU67" s="216" t="s">
        <v>3187</v>
      </c>
      <c r="CW67" s="4" t="s">
        <v>3218</v>
      </c>
      <c r="CX67" s="39"/>
    </row>
    <row r="68" spans="1:102" x14ac:dyDescent="0.3">
      <c r="A68" s="2">
        <v>69</v>
      </c>
      <c r="B68" s="109" t="s">
        <v>3255</v>
      </c>
      <c r="C68" s="55"/>
      <c r="D68" s="2"/>
      <c r="E68" s="2"/>
      <c r="F68" s="47"/>
      <c r="G68" s="67"/>
      <c r="H68" s="67"/>
      <c r="I68" s="67"/>
      <c r="J68" s="67"/>
      <c r="K68" s="67"/>
      <c r="L68" s="67"/>
      <c r="M68" s="67"/>
      <c r="N68" s="67"/>
      <c r="O68" s="67"/>
      <c r="Q68" s="67"/>
      <c r="R68" s="67"/>
      <c r="S68" s="67"/>
      <c r="T68" s="67"/>
      <c r="U68" s="86"/>
      <c r="V68" s="2"/>
      <c r="W68" s="2"/>
      <c r="X68" s="2"/>
      <c r="Y68" s="2" t="s">
        <v>535</v>
      </c>
      <c r="AA68" s="2"/>
      <c r="AB68" s="2"/>
      <c r="AC68" s="2"/>
      <c r="AD68" s="90"/>
      <c r="AE68" s="2"/>
      <c r="AF68" s="2" t="s">
        <v>3256</v>
      </c>
      <c r="AG68" s="3" t="s">
        <v>3214</v>
      </c>
      <c r="AH68" s="3" t="s">
        <v>3257</v>
      </c>
      <c r="AI68" s="2"/>
      <c r="AJ68" s="2" t="s">
        <v>3215</v>
      </c>
      <c r="AK68" s="2"/>
      <c r="AL68" s="2" t="s">
        <v>3053</v>
      </c>
      <c r="AM68" s="68"/>
      <c r="AN68" s="90"/>
      <c r="AO68" s="2"/>
      <c r="AP68" s="109"/>
      <c r="AQ68" s="2"/>
      <c r="AR68" s="2"/>
      <c r="AS68" s="2"/>
      <c r="AT68" s="2"/>
      <c r="AU68" s="90"/>
      <c r="AV68" s="2"/>
      <c r="AW68" s="2"/>
      <c r="AY68" s="2"/>
      <c r="AZ68" s="2"/>
      <c r="BA68" s="2"/>
      <c r="BB68" s="2"/>
      <c r="BC68" s="2" t="s">
        <v>135</v>
      </c>
      <c r="BD68" s="2"/>
      <c r="BE68" s="2"/>
      <c r="BF68" s="2"/>
      <c r="BG68" s="2"/>
      <c r="BH68" s="2"/>
      <c r="BI68" s="68">
        <v>46155</v>
      </c>
      <c r="BJ68" s="68"/>
      <c r="BK68" s="68">
        <v>47036</v>
      </c>
      <c r="BL68" s="98"/>
      <c r="BM68" s="2"/>
      <c r="BN68" s="2"/>
      <c r="BO68" s="90"/>
      <c r="BP68" s="2"/>
      <c r="CF68" s="2"/>
      <c r="CS68" s="146"/>
      <c r="CU68" s="132" t="s">
        <v>3187</v>
      </c>
      <c r="CW68" s="2" t="s">
        <v>3258</v>
      </c>
      <c r="CX68" s="38"/>
    </row>
    <row r="69" spans="1:102" x14ac:dyDescent="0.3">
      <c r="A69" s="4">
        <v>70</v>
      </c>
      <c r="B69" s="217" t="s">
        <v>3259</v>
      </c>
      <c r="C69" s="56"/>
      <c r="D69" s="4"/>
      <c r="E69" s="4"/>
      <c r="F69" s="46"/>
      <c r="G69" s="64"/>
      <c r="H69" s="64"/>
      <c r="I69" s="64"/>
      <c r="J69" s="64"/>
      <c r="K69" s="64"/>
      <c r="L69" s="64"/>
      <c r="M69" s="64"/>
      <c r="N69" s="64"/>
      <c r="O69" s="64"/>
      <c r="Q69" s="64"/>
      <c r="R69" s="64"/>
      <c r="S69" s="64"/>
      <c r="T69" s="64"/>
      <c r="U69" s="87"/>
      <c r="V69" s="4"/>
      <c r="W69" s="4"/>
      <c r="X69" s="4"/>
      <c r="Y69" s="4" t="s">
        <v>535</v>
      </c>
      <c r="AA69" s="4"/>
      <c r="AB69" s="4"/>
      <c r="AC69" s="4"/>
      <c r="AD69" s="91"/>
      <c r="AE69" s="4"/>
      <c r="AF69" s="4" t="s">
        <v>3260</v>
      </c>
      <c r="AG69" s="5" t="s">
        <v>3214</v>
      </c>
      <c r="AH69" s="5" t="s">
        <v>3261</v>
      </c>
      <c r="AI69" s="4"/>
      <c r="AJ69" s="4" t="s">
        <v>3215</v>
      </c>
      <c r="AK69" s="4"/>
      <c r="AL69" s="4" t="s">
        <v>3053</v>
      </c>
      <c r="AM69" s="69"/>
      <c r="AN69" s="91"/>
      <c r="AO69" s="4"/>
      <c r="AP69" s="217"/>
      <c r="AQ69" s="4"/>
      <c r="AR69" s="4"/>
      <c r="AS69" s="4"/>
      <c r="AT69" s="4"/>
      <c r="AU69" s="91"/>
      <c r="AV69" s="4"/>
      <c r="AW69" s="4"/>
      <c r="AY69" s="4"/>
      <c r="AZ69" s="4"/>
      <c r="BA69" s="4"/>
      <c r="BB69" s="4"/>
      <c r="BC69" s="4" t="s">
        <v>135</v>
      </c>
      <c r="BD69" s="4"/>
      <c r="BE69" s="4"/>
      <c r="BF69" s="4"/>
      <c r="BG69" s="4"/>
      <c r="BH69" s="4"/>
      <c r="BI69" s="69">
        <v>46174</v>
      </c>
      <c r="BJ69" s="69"/>
      <c r="BK69" s="69">
        <v>46413</v>
      </c>
      <c r="BL69" s="97"/>
      <c r="BM69" s="4"/>
      <c r="BN69" s="4"/>
      <c r="BO69" s="91"/>
      <c r="BP69" s="4"/>
      <c r="CF69" s="4"/>
      <c r="CS69" s="147"/>
      <c r="CU69" s="216" t="s">
        <v>3187</v>
      </c>
      <c r="CW69" s="4" t="s">
        <v>3054</v>
      </c>
      <c r="CX69" s="39"/>
    </row>
    <row r="70" spans="1:102" x14ac:dyDescent="0.3">
      <c r="A70" s="2">
        <v>71</v>
      </c>
      <c r="B70" s="109" t="s">
        <v>3262</v>
      </c>
      <c r="C70" s="55"/>
      <c r="D70" s="2"/>
      <c r="E70" s="2"/>
      <c r="F70" s="47"/>
      <c r="G70" s="67"/>
      <c r="H70" s="67"/>
      <c r="I70" s="67"/>
      <c r="J70" s="67"/>
      <c r="K70" s="67"/>
      <c r="L70" s="67"/>
      <c r="M70" s="67"/>
      <c r="N70" s="67"/>
      <c r="O70" s="67"/>
      <c r="Q70" s="67"/>
      <c r="R70" s="67"/>
      <c r="S70" s="67"/>
      <c r="T70" s="67"/>
      <c r="U70" s="86"/>
      <c r="V70" s="2"/>
      <c r="W70" s="2"/>
      <c r="X70" s="2"/>
      <c r="Y70" s="2" t="s">
        <v>535</v>
      </c>
      <c r="AA70" s="2"/>
      <c r="AB70" s="2"/>
      <c r="AC70" s="2"/>
      <c r="AD70" s="90"/>
      <c r="AE70" s="2"/>
      <c r="AF70" s="2" t="s">
        <v>3263</v>
      </c>
      <c r="AG70" s="3" t="s">
        <v>3214</v>
      </c>
      <c r="AH70" s="3" t="s">
        <v>3264</v>
      </c>
      <c r="AI70" s="2"/>
      <c r="AJ70" s="2" t="s">
        <v>3215</v>
      </c>
      <c r="AK70" s="2"/>
      <c r="AL70" s="2" t="s">
        <v>3053</v>
      </c>
      <c r="AM70" s="68"/>
      <c r="AN70" s="90"/>
      <c r="AO70" s="2"/>
      <c r="AP70" s="109"/>
      <c r="AQ70" s="2"/>
      <c r="AR70" s="2"/>
      <c r="AS70" s="2"/>
      <c r="AT70" s="2"/>
      <c r="AU70" s="90"/>
      <c r="AV70" s="2"/>
      <c r="AW70" s="2"/>
      <c r="AY70" s="2"/>
      <c r="AZ70" s="2"/>
      <c r="BA70" s="2"/>
      <c r="BB70" s="2"/>
      <c r="BC70" s="2" t="s">
        <v>135</v>
      </c>
      <c r="BD70" s="2"/>
      <c r="BE70" s="2"/>
      <c r="BF70" s="2"/>
      <c r="BG70" s="2"/>
      <c r="BH70" s="2"/>
      <c r="BI70" s="68">
        <v>45777</v>
      </c>
      <c r="BJ70" s="68"/>
      <c r="BK70" s="68">
        <v>46468</v>
      </c>
      <c r="BL70" s="98"/>
      <c r="BM70" s="2"/>
      <c r="BN70" s="2"/>
      <c r="BO70" s="90"/>
      <c r="BP70" s="2"/>
      <c r="CF70" s="2"/>
      <c r="CS70" s="146"/>
      <c r="CU70" s="132" t="s">
        <v>3187</v>
      </c>
      <c r="CW70" s="2" t="s">
        <v>3265</v>
      </c>
      <c r="CX70" s="38"/>
    </row>
    <row r="71" spans="1:102" x14ac:dyDescent="0.3">
      <c r="A71" s="4">
        <v>72</v>
      </c>
      <c r="B71" s="217" t="s">
        <v>3266</v>
      </c>
      <c r="C71" s="56"/>
      <c r="D71" s="4"/>
      <c r="E71" s="4"/>
      <c r="F71" s="46"/>
      <c r="G71" s="64"/>
      <c r="H71" s="64"/>
      <c r="I71" s="64"/>
      <c r="J71" s="64"/>
      <c r="K71" s="64"/>
      <c r="L71" s="64"/>
      <c r="M71" s="64"/>
      <c r="N71" s="64"/>
      <c r="O71" s="64"/>
      <c r="Q71" s="64"/>
      <c r="R71" s="64"/>
      <c r="S71" s="64"/>
      <c r="T71" s="64"/>
      <c r="U71" s="87"/>
      <c r="V71" s="4"/>
      <c r="W71" s="4"/>
      <c r="X71" s="4"/>
      <c r="Y71" s="4" t="s">
        <v>535</v>
      </c>
      <c r="AA71" s="4"/>
      <c r="AB71" s="4"/>
      <c r="AC71" s="4"/>
      <c r="AD71" s="91"/>
      <c r="AE71" s="4"/>
      <c r="AF71" s="4" t="s">
        <v>3267</v>
      </c>
      <c r="AG71" s="5" t="s">
        <v>3214</v>
      </c>
      <c r="AH71" s="5" t="s">
        <v>3268</v>
      </c>
      <c r="AI71" s="4"/>
      <c r="AJ71" s="4" t="s">
        <v>3215</v>
      </c>
      <c r="AK71" s="4"/>
      <c r="AL71" s="4" t="s">
        <v>3053</v>
      </c>
      <c r="AM71" s="69"/>
      <c r="AN71" s="91"/>
      <c r="AO71" s="4"/>
      <c r="AP71" s="217"/>
      <c r="AQ71" s="4"/>
      <c r="AR71" s="4"/>
      <c r="AS71" s="4"/>
      <c r="AT71" s="4"/>
      <c r="AU71" s="91"/>
      <c r="AV71" s="4"/>
      <c r="AW71" s="4"/>
      <c r="AY71" s="4"/>
      <c r="AZ71" s="4"/>
      <c r="BA71" s="4"/>
      <c r="BB71" s="4"/>
      <c r="BC71" s="4" t="s">
        <v>135</v>
      </c>
      <c r="BD71" s="4"/>
      <c r="BE71" s="4"/>
      <c r="BF71" s="4"/>
      <c r="BG71" s="4"/>
      <c r="BH71" s="4"/>
      <c r="BI71" s="69">
        <v>46239</v>
      </c>
      <c r="BJ71" s="69"/>
      <c r="BK71" s="69">
        <v>46370</v>
      </c>
      <c r="BL71" s="97"/>
      <c r="BM71" s="4"/>
      <c r="BN71" s="4"/>
      <c r="BO71" s="91"/>
      <c r="BP71" s="4"/>
      <c r="CF71" s="4"/>
      <c r="CS71" s="147"/>
      <c r="CU71" s="216" t="s">
        <v>3187</v>
      </c>
      <c r="CW71" s="4" t="s">
        <v>3054</v>
      </c>
      <c r="CX71" s="39"/>
    </row>
    <row r="72" spans="1:102" x14ac:dyDescent="0.3">
      <c r="A72" s="2">
        <v>73</v>
      </c>
      <c r="B72" s="109" t="s">
        <v>3269</v>
      </c>
      <c r="C72" s="55"/>
      <c r="D72" s="2"/>
      <c r="E72" s="2"/>
      <c r="F72" s="47"/>
      <c r="G72" s="67"/>
      <c r="H72" s="67"/>
      <c r="I72" s="67"/>
      <c r="J72" s="67"/>
      <c r="K72" s="67"/>
      <c r="L72" s="67"/>
      <c r="M72" s="67"/>
      <c r="N72" s="67"/>
      <c r="O72" s="67"/>
      <c r="Q72" s="67"/>
      <c r="R72" s="67"/>
      <c r="S72" s="67"/>
      <c r="T72" s="67"/>
      <c r="U72" s="86"/>
      <c r="V72" s="2"/>
      <c r="W72" s="2"/>
      <c r="X72" s="2"/>
      <c r="Y72" s="2" t="s">
        <v>535</v>
      </c>
      <c r="AA72" s="2"/>
      <c r="AB72" s="2"/>
      <c r="AC72" s="2"/>
      <c r="AD72" s="90"/>
      <c r="AE72" s="2"/>
      <c r="AF72" s="2" t="s">
        <v>3270</v>
      </c>
      <c r="AG72" s="3" t="s">
        <v>3214</v>
      </c>
      <c r="AH72" s="3" t="s">
        <v>3271</v>
      </c>
      <c r="AI72" s="2"/>
      <c r="AJ72" s="2" t="s">
        <v>3215</v>
      </c>
      <c r="AK72" s="2"/>
      <c r="AL72" s="2" t="s">
        <v>3053</v>
      </c>
      <c r="AM72" s="68"/>
      <c r="AN72" s="90"/>
      <c r="AO72" s="2"/>
      <c r="AP72" s="109"/>
      <c r="AQ72" s="2"/>
      <c r="AR72" s="2"/>
      <c r="AS72" s="2"/>
      <c r="AT72" s="2"/>
      <c r="AU72" s="90"/>
      <c r="AV72" s="2"/>
      <c r="AW72" s="2"/>
      <c r="AY72" s="2"/>
      <c r="AZ72" s="2"/>
      <c r="BA72" s="2"/>
      <c r="BB72" s="2"/>
      <c r="BC72" s="2" t="s">
        <v>135</v>
      </c>
      <c r="BD72" s="2"/>
      <c r="BE72" s="2"/>
      <c r="BF72" s="2"/>
      <c r="BG72" s="2"/>
      <c r="BH72" s="2"/>
      <c r="BI72" s="68">
        <v>45485</v>
      </c>
      <c r="BJ72" s="68"/>
      <c r="BK72" s="68">
        <v>45779</v>
      </c>
      <c r="BL72" s="98"/>
      <c r="BM72" s="2"/>
      <c r="BN72" s="2"/>
      <c r="BO72" s="90"/>
      <c r="BP72" s="2"/>
      <c r="CF72" s="2"/>
      <c r="CS72" s="146"/>
      <c r="CU72" s="132" t="s">
        <v>3187</v>
      </c>
      <c r="CW72" s="2" t="s">
        <v>3218</v>
      </c>
      <c r="CX72" s="38"/>
    </row>
    <row r="73" spans="1:102" x14ac:dyDescent="0.3">
      <c r="A73" s="4">
        <v>74</v>
      </c>
      <c r="B73" s="217" t="s">
        <v>3272</v>
      </c>
      <c r="C73" s="56"/>
      <c r="D73" s="4"/>
      <c r="E73" s="4"/>
      <c r="F73" s="46"/>
      <c r="G73" s="64"/>
      <c r="H73" s="64"/>
      <c r="I73" s="64"/>
      <c r="J73" s="64"/>
      <c r="K73" s="64"/>
      <c r="L73" s="64"/>
      <c r="M73" s="64"/>
      <c r="N73" s="64"/>
      <c r="O73" s="64"/>
      <c r="Q73" s="64"/>
      <c r="R73" s="64"/>
      <c r="S73" s="64"/>
      <c r="T73" s="64"/>
      <c r="U73" s="87"/>
      <c r="V73" s="4"/>
      <c r="W73" s="4"/>
      <c r="X73" s="4"/>
      <c r="Y73" s="4" t="s">
        <v>535</v>
      </c>
      <c r="AA73" s="4"/>
      <c r="AB73" s="4"/>
      <c r="AC73" s="4"/>
      <c r="AD73" s="91"/>
      <c r="AE73" s="4"/>
      <c r="AF73" s="4" t="s">
        <v>3273</v>
      </c>
      <c r="AG73" s="5" t="s">
        <v>3214</v>
      </c>
      <c r="AH73" s="5" t="s">
        <v>3274</v>
      </c>
      <c r="AI73" s="4"/>
      <c r="AJ73" s="4" t="s">
        <v>3215</v>
      </c>
      <c r="AK73" s="4"/>
      <c r="AL73" s="4" t="s">
        <v>3053</v>
      </c>
      <c r="AM73" s="69"/>
      <c r="AN73" s="91"/>
      <c r="AO73" s="4"/>
      <c r="AP73" s="217"/>
      <c r="AQ73" s="4"/>
      <c r="AR73" s="4"/>
      <c r="AS73" s="4"/>
      <c r="AT73" s="4"/>
      <c r="AU73" s="91"/>
      <c r="AV73" s="4"/>
      <c r="AW73" s="4"/>
      <c r="AY73" s="4"/>
      <c r="AZ73" s="4"/>
      <c r="BA73" s="4"/>
      <c r="BB73" s="4"/>
      <c r="BC73" s="4" t="s">
        <v>135</v>
      </c>
      <c r="BD73" s="4"/>
      <c r="BE73" s="4"/>
      <c r="BF73" s="4"/>
      <c r="BG73" s="4"/>
      <c r="BH73" s="4"/>
      <c r="BI73" s="69">
        <v>46191</v>
      </c>
      <c r="BJ73" s="69"/>
      <c r="BK73" s="69">
        <v>46405</v>
      </c>
      <c r="BL73" s="97"/>
      <c r="BM73" s="4"/>
      <c r="BN73" s="4"/>
      <c r="BO73" s="91"/>
      <c r="BP73" s="4"/>
      <c r="CF73" s="4"/>
      <c r="CS73" s="147"/>
      <c r="CU73" s="216" t="s">
        <v>3187</v>
      </c>
      <c r="CW73" s="4" t="s">
        <v>3054</v>
      </c>
      <c r="CX73" s="39"/>
    </row>
    <row r="74" spans="1:102" ht="92.4" x14ac:dyDescent="0.3">
      <c r="A74" s="2">
        <v>75</v>
      </c>
      <c r="B74" s="43" t="s">
        <v>658</v>
      </c>
      <c r="C74" s="51">
        <v>33.257809000000002</v>
      </c>
      <c r="D74" s="51">
        <v>-116.958718</v>
      </c>
      <c r="E74" s="2" t="s">
        <v>659</v>
      </c>
      <c r="F74" s="47" t="s">
        <v>660</v>
      </c>
      <c r="G74" s="2" t="s">
        <v>661</v>
      </c>
      <c r="H74" s="2" t="s">
        <v>146</v>
      </c>
      <c r="I74" s="2" t="s">
        <v>275</v>
      </c>
      <c r="J74" s="2" t="s">
        <v>109</v>
      </c>
      <c r="K74" s="2" t="s">
        <v>662</v>
      </c>
      <c r="L74" s="2" t="s">
        <v>663</v>
      </c>
      <c r="M74" s="2" t="s">
        <v>109</v>
      </c>
      <c r="N74" s="2" t="s">
        <v>109</v>
      </c>
      <c r="O74" s="68">
        <v>45605</v>
      </c>
      <c r="Q74" s="2">
        <v>38</v>
      </c>
      <c r="R74" s="2" t="s">
        <v>109</v>
      </c>
      <c r="S74" s="2" t="s">
        <v>109</v>
      </c>
      <c r="T74" s="2" t="s">
        <v>109</v>
      </c>
      <c r="U74" s="2" t="s">
        <v>310</v>
      </c>
      <c r="V74" s="2" t="s">
        <v>3275</v>
      </c>
      <c r="W74" s="2" t="b">
        <v>0</v>
      </c>
      <c r="X74" s="2" t="s">
        <v>109</v>
      </c>
      <c r="Y74" s="2" t="s">
        <v>481</v>
      </c>
      <c r="AA74" s="51">
        <v>4.6373689999999996</v>
      </c>
      <c r="AB74" s="2" t="s">
        <v>118</v>
      </c>
      <c r="AC74" s="2">
        <v>69</v>
      </c>
      <c r="AD74" s="2" t="s">
        <v>109</v>
      </c>
      <c r="AE74" s="2">
        <v>1.2</v>
      </c>
      <c r="AF74" s="2" t="s">
        <v>3276</v>
      </c>
      <c r="AG74" s="3" t="s">
        <v>3277</v>
      </c>
      <c r="AH74" s="3" t="s">
        <v>3278</v>
      </c>
      <c r="AI74" s="2">
        <v>1</v>
      </c>
      <c r="AJ74" s="2" t="s">
        <v>3279</v>
      </c>
      <c r="AK74" s="2" t="s">
        <v>121</v>
      </c>
      <c r="AL74" s="115" t="s">
        <v>3027</v>
      </c>
      <c r="AM74" s="68" t="s">
        <v>3280</v>
      </c>
      <c r="AN74" s="2" t="s">
        <v>122</v>
      </c>
      <c r="AO74" s="67">
        <v>2009</v>
      </c>
      <c r="AP74" s="109" t="s">
        <v>109</v>
      </c>
      <c r="AQ74" s="115" t="b">
        <v>0</v>
      </c>
      <c r="AR74" s="115" t="s">
        <v>109</v>
      </c>
      <c r="AS74" s="115" t="s">
        <v>109</v>
      </c>
      <c r="AT74" s="115" t="s">
        <v>118</v>
      </c>
      <c r="AU74" s="2" t="b">
        <v>0</v>
      </c>
      <c r="AV74" s="2" t="s">
        <v>109</v>
      </c>
      <c r="AW74" s="2" t="s">
        <v>118</v>
      </c>
      <c r="AY74" s="2" t="s">
        <v>124</v>
      </c>
      <c r="AZ74" s="2" t="s">
        <v>109</v>
      </c>
      <c r="BA74" s="2" t="s">
        <v>118</v>
      </c>
      <c r="BB74" s="2" t="s">
        <v>118</v>
      </c>
      <c r="BC74" s="2" t="s">
        <v>666</v>
      </c>
      <c r="BD74" s="2">
        <v>43782</v>
      </c>
      <c r="BE74" s="2" t="s">
        <v>494</v>
      </c>
      <c r="BF74" s="2">
        <v>2020</v>
      </c>
      <c r="BG74" s="2" t="s">
        <v>126</v>
      </c>
      <c r="BH74" s="2" t="s">
        <v>109</v>
      </c>
      <c r="BI74" s="76">
        <v>44123</v>
      </c>
      <c r="BJ74" s="68">
        <v>41305</v>
      </c>
      <c r="BK74" s="76">
        <v>44910</v>
      </c>
      <c r="BL74" s="98" t="s">
        <v>240</v>
      </c>
      <c r="BM74" s="2" t="s">
        <v>109</v>
      </c>
      <c r="BN74" s="2" t="b">
        <v>1</v>
      </c>
      <c r="BO74" s="85">
        <v>65729</v>
      </c>
      <c r="BP74" s="2" t="s">
        <v>128</v>
      </c>
      <c r="CF74" s="2" t="s">
        <v>842</v>
      </c>
      <c r="CS74" s="142" t="s">
        <v>3281</v>
      </c>
      <c r="CU74" s="132" t="s">
        <v>3187</v>
      </c>
      <c r="CW74" s="2" t="s">
        <v>3282</v>
      </c>
      <c r="CX74" s="38"/>
    </row>
    <row r="75" spans="1:102" ht="52.8" x14ac:dyDescent="0.3">
      <c r="A75" s="4">
        <v>76</v>
      </c>
      <c r="B75" s="44" t="s">
        <v>673</v>
      </c>
      <c r="C75" s="53">
        <v>32.59066</v>
      </c>
      <c r="D75" s="53">
        <v>-116.961406</v>
      </c>
      <c r="E75" s="4" t="s">
        <v>674</v>
      </c>
      <c r="F75" s="46" t="s">
        <v>675</v>
      </c>
      <c r="G75" s="4" t="s">
        <v>661</v>
      </c>
      <c r="H75" s="4" t="s">
        <v>146</v>
      </c>
      <c r="I75" s="4" t="s">
        <v>109</v>
      </c>
      <c r="J75" s="4" t="s">
        <v>109</v>
      </c>
      <c r="K75" s="4" t="s">
        <v>662</v>
      </c>
      <c r="L75" s="4" t="s">
        <v>663</v>
      </c>
      <c r="M75" s="4" t="s">
        <v>109</v>
      </c>
      <c r="N75" s="4" t="s">
        <v>109</v>
      </c>
      <c r="O75" s="69">
        <v>45307.5</v>
      </c>
      <c r="Q75" s="4">
        <v>47</v>
      </c>
      <c r="R75" s="4" t="s">
        <v>109</v>
      </c>
      <c r="S75" s="4" t="s">
        <v>109</v>
      </c>
      <c r="T75" s="4" t="s">
        <v>109</v>
      </c>
      <c r="U75" s="4" t="s">
        <v>404</v>
      </c>
      <c r="V75" s="4" t="s">
        <v>3201</v>
      </c>
      <c r="W75" s="4" t="b">
        <v>0</v>
      </c>
      <c r="X75" s="4" t="s">
        <v>109</v>
      </c>
      <c r="Y75" s="4" t="s">
        <v>672</v>
      </c>
      <c r="AA75" s="53">
        <v>7.7111390000000002</v>
      </c>
      <c r="AB75" s="4" t="s">
        <v>118</v>
      </c>
      <c r="AC75" s="4">
        <v>69</v>
      </c>
      <c r="AD75" s="4" t="s">
        <v>109</v>
      </c>
      <c r="AE75" s="4">
        <v>1.2</v>
      </c>
      <c r="AF75" s="4" t="s">
        <v>3283</v>
      </c>
      <c r="AG75" s="5" t="s">
        <v>3284</v>
      </c>
      <c r="AH75" s="5" t="s">
        <v>3285</v>
      </c>
      <c r="AI75" s="4">
        <v>1</v>
      </c>
      <c r="AJ75" s="4" t="s">
        <v>3286</v>
      </c>
      <c r="AK75" s="4" t="s">
        <v>121</v>
      </c>
      <c r="AL75" s="4" t="s">
        <v>3027</v>
      </c>
      <c r="AM75" s="69" t="s">
        <v>3287</v>
      </c>
      <c r="AN75" s="4" t="s">
        <v>122</v>
      </c>
      <c r="AO75" s="4">
        <v>2009</v>
      </c>
      <c r="AP75" s="217" t="s">
        <v>118</v>
      </c>
      <c r="AQ75" s="4" t="b">
        <v>0</v>
      </c>
      <c r="AR75" s="4" t="s">
        <v>118</v>
      </c>
      <c r="AS75" s="4" t="s">
        <v>118</v>
      </c>
      <c r="AT75" s="4" t="s">
        <v>118</v>
      </c>
      <c r="AU75" s="4" t="b">
        <v>0</v>
      </c>
      <c r="AV75" s="4" t="s">
        <v>490</v>
      </c>
      <c r="AW75" s="4" t="s">
        <v>118</v>
      </c>
      <c r="AY75" s="4" t="s">
        <v>491</v>
      </c>
      <c r="AZ75" s="4" t="s">
        <v>109</v>
      </c>
      <c r="BA75" s="4" t="s">
        <v>226</v>
      </c>
      <c r="BB75" s="4" t="s">
        <v>118</v>
      </c>
      <c r="BC75" s="4" t="s">
        <v>492</v>
      </c>
      <c r="BD75" s="4">
        <v>42226</v>
      </c>
      <c r="BE75" s="4" t="s">
        <v>494</v>
      </c>
      <c r="BF75" s="4">
        <v>2019</v>
      </c>
      <c r="BG75" s="4" t="s">
        <v>126</v>
      </c>
      <c r="BH75" s="4" t="s">
        <v>109</v>
      </c>
      <c r="BI75" s="69">
        <v>43657</v>
      </c>
      <c r="BJ75" s="69">
        <v>43876</v>
      </c>
      <c r="BK75" s="69">
        <v>43883</v>
      </c>
      <c r="BL75" s="97" t="s">
        <v>109</v>
      </c>
      <c r="BM75" s="4" t="s">
        <v>109</v>
      </c>
      <c r="BN75" s="97" t="b">
        <v>0</v>
      </c>
      <c r="BO75" s="130" t="s">
        <v>118</v>
      </c>
      <c r="BP75" s="4" t="s">
        <v>128</v>
      </c>
      <c r="CF75" s="4" t="s">
        <v>157</v>
      </c>
      <c r="CS75" s="143" t="s">
        <v>684</v>
      </c>
      <c r="CU75" s="216" t="s">
        <v>3187</v>
      </c>
      <c r="CW75" s="4" t="s">
        <v>3288</v>
      </c>
      <c r="CX75" s="39"/>
    </row>
    <row r="76" spans="1:102" x14ac:dyDescent="0.3">
      <c r="A76" s="2">
        <v>78</v>
      </c>
      <c r="B76" s="43" t="s">
        <v>686</v>
      </c>
      <c r="C76" s="51">
        <v>33.158557999999999</v>
      </c>
      <c r="D76" s="51">
        <v>-116.49563499999999</v>
      </c>
      <c r="E76" s="2" t="s">
        <v>191</v>
      </c>
      <c r="F76" s="47" t="s">
        <v>687</v>
      </c>
      <c r="G76" s="2" t="s">
        <v>688</v>
      </c>
      <c r="H76" s="2" t="s">
        <v>146</v>
      </c>
      <c r="I76" s="2" t="s">
        <v>275</v>
      </c>
      <c r="J76" s="2">
        <v>23126</v>
      </c>
      <c r="K76" s="2" t="s">
        <v>662</v>
      </c>
      <c r="L76" s="2" t="s">
        <v>663</v>
      </c>
      <c r="M76" s="2" t="s">
        <v>109</v>
      </c>
      <c r="N76" s="2" t="s">
        <v>109</v>
      </c>
      <c r="O76" s="68">
        <v>45300.5</v>
      </c>
      <c r="Q76" s="2">
        <v>47</v>
      </c>
      <c r="R76" s="2" t="s">
        <v>109</v>
      </c>
      <c r="S76" s="2" t="s">
        <v>109</v>
      </c>
      <c r="T76" s="2" t="s">
        <v>109</v>
      </c>
      <c r="U76" s="2" t="s">
        <v>404</v>
      </c>
      <c r="V76" s="2" t="s">
        <v>3201</v>
      </c>
      <c r="W76" s="2" t="b">
        <v>0</v>
      </c>
      <c r="X76" s="2" t="s">
        <v>109</v>
      </c>
      <c r="Y76" s="2" t="s">
        <v>685</v>
      </c>
      <c r="AA76" s="51">
        <v>24.675932</v>
      </c>
      <c r="AB76" s="2" t="s">
        <v>118</v>
      </c>
      <c r="AC76" s="2">
        <v>69</v>
      </c>
      <c r="AD76" s="2" t="s">
        <v>109</v>
      </c>
      <c r="AE76" s="2">
        <v>1.2</v>
      </c>
      <c r="AF76" s="2" t="s">
        <v>3289</v>
      </c>
      <c r="AG76" s="3" t="s">
        <v>3290</v>
      </c>
      <c r="AH76" s="3" t="s">
        <v>3291</v>
      </c>
      <c r="AI76" s="2">
        <v>1</v>
      </c>
      <c r="AJ76" s="2" t="s">
        <v>3292</v>
      </c>
      <c r="AK76" s="2" t="s">
        <v>121</v>
      </c>
      <c r="AL76" s="2" t="s">
        <v>3027</v>
      </c>
      <c r="AM76" s="68" t="s">
        <v>3293</v>
      </c>
      <c r="AN76" s="2" t="s">
        <v>122</v>
      </c>
      <c r="AO76" s="2">
        <v>2012</v>
      </c>
      <c r="AP76" s="109" t="s">
        <v>109</v>
      </c>
      <c r="AQ76" s="2" t="b">
        <v>0</v>
      </c>
      <c r="AR76" s="2" t="s">
        <v>109</v>
      </c>
      <c r="AS76" s="2" t="s">
        <v>109</v>
      </c>
      <c r="AT76" s="2" t="s">
        <v>118</v>
      </c>
      <c r="AU76" s="2" t="b">
        <v>0</v>
      </c>
      <c r="AV76" s="2" t="s">
        <v>109</v>
      </c>
      <c r="AW76" s="2" t="s">
        <v>118</v>
      </c>
      <c r="AY76" s="2" t="s">
        <v>124</v>
      </c>
      <c r="AZ76" s="2" t="s">
        <v>109</v>
      </c>
      <c r="BA76" s="2" t="s">
        <v>118</v>
      </c>
      <c r="BB76" s="2" t="s">
        <v>694</v>
      </c>
      <c r="BC76" s="2" t="s">
        <v>135</v>
      </c>
      <c r="BD76" s="2" t="s">
        <v>109</v>
      </c>
      <c r="BE76" s="2" t="s">
        <v>109</v>
      </c>
      <c r="BF76" s="2" t="s">
        <v>109</v>
      </c>
      <c r="BG76" s="2" t="s">
        <v>126</v>
      </c>
      <c r="BH76" s="2" t="s">
        <v>109</v>
      </c>
      <c r="BI76" s="68">
        <v>46857</v>
      </c>
      <c r="BJ76" s="68">
        <v>46624</v>
      </c>
      <c r="BK76" s="68">
        <v>47393</v>
      </c>
      <c r="BL76" s="98" t="s">
        <v>893</v>
      </c>
      <c r="BM76" s="2" t="s">
        <v>699</v>
      </c>
      <c r="BN76" s="98" t="b">
        <v>0</v>
      </c>
      <c r="BO76" s="85">
        <v>5446.0598499999996</v>
      </c>
      <c r="BP76" s="2" t="s">
        <v>128</v>
      </c>
      <c r="CF76" s="2" t="s">
        <v>109</v>
      </c>
      <c r="CS76" s="145"/>
      <c r="CU76" s="132" t="s">
        <v>3187</v>
      </c>
      <c r="CW76" s="2" t="s">
        <v>3294</v>
      </c>
      <c r="CX76" s="38"/>
    </row>
    <row r="77" spans="1:102" x14ac:dyDescent="0.3">
      <c r="A77" s="4">
        <v>79</v>
      </c>
      <c r="B77" s="44" t="s">
        <v>702</v>
      </c>
      <c r="C77" s="53">
        <v>32.825856999999999</v>
      </c>
      <c r="D77" s="53">
        <v>-117.16431300000001</v>
      </c>
      <c r="E77" s="4" t="s">
        <v>329</v>
      </c>
      <c r="F77" s="46" t="s">
        <v>703</v>
      </c>
      <c r="G77" s="4" t="s">
        <v>661</v>
      </c>
      <c r="H77" s="4" t="s">
        <v>113</v>
      </c>
      <c r="I77" s="4" t="s">
        <v>109</v>
      </c>
      <c r="J77" s="4" t="s">
        <v>109</v>
      </c>
      <c r="K77" s="4" t="s">
        <v>704</v>
      </c>
      <c r="L77" s="4" t="s">
        <v>705</v>
      </c>
      <c r="M77" s="4" t="s">
        <v>706</v>
      </c>
      <c r="N77" s="4" t="s">
        <v>109</v>
      </c>
      <c r="O77" s="69">
        <v>45363.5</v>
      </c>
      <c r="Q77" s="4">
        <v>47</v>
      </c>
      <c r="R77" s="4" t="s">
        <v>508</v>
      </c>
      <c r="S77" s="4" t="s">
        <v>509</v>
      </c>
      <c r="T77" s="4" t="s">
        <v>109</v>
      </c>
      <c r="U77" s="4" t="s">
        <v>116</v>
      </c>
      <c r="V77" s="4" t="s">
        <v>3022</v>
      </c>
      <c r="W77" s="4" t="b">
        <v>0</v>
      </c>
      <c r="X77" s="4" t="s">
        <v>109</v>
      </c>
      <c r="Y77" s="4" t="s">
        <v>701</v>
      </c>
      <c r="AA77" s="53">
        <v>7.9514930000000001</v>
      </c>
      <c r="AB77" s="4" t="s">
        <v>118</v>
      </c>
      <c r="AC77" s="4" t="s">
        <v>707</v>
      </c>
      <c r="AD77" s="4" t="s">
        <v>109</v>
      </c>
      <c r="AE77" s="4">
        <v>2.1</v>
      </c>
      <c r="AF77" s="4" t="s">
        <v>3295</v>
      </c>
      <c r="AG77" s="5" t="s">
        <v>3296</v>
      </c>
      <c r="AH77" s="5" t="s">
        <v>3297</v>
      </c>
      <c r="AI77" s="4">
        <v>1</v>
      </c>
      <c r="AJ77" s="4" t="s">
        <v>3298</v>
      </c>
      <c r="AK77" s="4" t="s">
        <v>121</v>
      </c>
      <c r="AL77" s="4" t="s">
        <v>3053</v>
      </c>
      <c r="AM77" s="69" t="s">
        <v>109</v>
      </c>
      <c r="AN77" s="4" t="s">
        <v>122</v>
      </c>
      <c r="AO77" s="4">
        <v>2011</v>
      </c>
      <c r="AP77" s="217">
        <v>2011</v>
      </c>
      <c r="AQ77" s="4" t="b">
        <v>0</v>
      </c>
      <c r="AR77" s="4" t="s">
        <v>710</v>
      </c>
      <c r="AS77" s="4" t="s">
        <v>109</v>
      </c>
      <c r="AT77" s="4" t="s">
        <v>514</v>
      </c>
      <c r="AU77" s="4" t="b">
        <v>0</v>
      </c>
      <c r="AV77" s="4" t="s">
        <v>109</v>
      </c>
      <c r="AW77" s="4" t="s">
        <v>118</v>
      </c>
      <c r="AY77" s="4" t="s">
        <v>109</v>
      </c>
      <c r="AZ77" s="4" t="s">
        <v>109</v>
      </c>
      <c r="BA77" s="4" t="s">
        <v>118</v>
      </c>
      <c r="BB77" s="4" t="s">
        <v>118</v>
      </c>
      <c r="BC77" s="4" t="s">
        <v>666</v>
      </c>
      <c r="BD77" s="4">
        <v>42941</v>
      </c>
      <c r="BE77" s="4" t="s">
        <v>494</v>
      </c>
      <c r="BF77" s="4">
        <v>2017</v>
      </c>
      <c r="BG77" s="4" t="s">
        <v>126</v>
      </c>
      <c r="BH77" s="4" t="s">
        <v>109</v>
      </c>
      <c r="BI77" s="75">
        <v>43255</v>
      </c>
      <c r="BJ77" s="69">
        <v>42156</v>
      </c>
      <c r="BK77" s="75">
        <v>43623</v>
      </c>
      <c r="BL77" s="97" t="s">
        <v>459</v>
      </c>
      <c r="BM77" s="4" t="s">
        <v>109</v>
      </c>
      <c r="BN77" s="4" t="b">
        <v>1</v>
      </c>
      <c r="BO77" s="130">
        <v>28730.526880000001</v>
      </c>
      <c r="BP77" s="4" t="s">
        <v>128</v>
      </c>
      <c r="CF77" s="4" t="s">
        <v>683</v>
      </c>
      <c r="CS77" s="144"/>
      <c r="CU77" s="216" t="s">
        <v>3187</v>
      </c>
      <c r="CW77" s="4" t="s">
        <v>3299</v>
      </c>
      <c r="CX77" s="39"/>
    </row>
    <row r="78" spans="1:102" ht="39.6" x14ac:dyDescent="0.3">
      <c r="A78" s="2">
        <v>80</v>
      </c>
      <c r="B78" s="43" t="s">
        <v>714</v>
      </c>
      <c r="C78" s="51">
        <v>33.210999999999999</v>
      </c>
      <c r="D78" s="51">
        <v>-117.33499999999999</v>
      </c>
      <c r="E78" s="2" t="s">
        <v>483</v>
      </c>
      <c r="F78" s="47" t="s">
        <v>715</v>
      </c>
      <c r="G78" s="67" t="s">
        <v>166</v>
      </c>
      <c r="H78" s="67" t="s">
        <v>146</v>
      </c>
      <c r="I78" s="67" t="s">
        <v>113</v>
      </c>
      <c r="J78" s="67" t="s">
        <v>109</v>
      </c>
      <c r="K78" s="67" t="s">
        <v>114</v>
      </c>
      <c r="L78" s="67" t="s">
        <v>716</v>
      </c>
      <c r="M78" s="67" t="s">
        <v>109</v>
      </c>
      <c r="N78" s="67" t="s">
        <v>109</v>
      </c>
      <c r="O78" s="68">
        <v>45583</v>
      </c>
      <c r="Q78" s="67" t="s">
        <v>717</v>
      </c>
      <c r="R78" s="67" t="s">
        <v>109</v>
      </c>
      <c r="S78" s="2" t="s">
        <v>109</v>
      </c>
      <c r="T78" s="67" t="s">
        <v>109</v>
      </c>
      <c r="U78" s="2" t="s">
        <v>116</v>
      </c>
      <c r="V78" s="2" t="s">
        <v>3022</v>
      </c>
      <c r="W78" s="2" t="b">
        <v>0</v>
      </c>
      <c r="X78" s="2" t="s">
        <v>109</v>
      </c>
      <c r="Y78" s="2" t="s">
        <v>3300</v>
      </c>
      <c r="AA78" s="2" t="s">
        <v>109</v>
      </c>
      <c r="AB78" s="2">
        <v>6.12</v>
      </c>
      <c r="AC78" s="2">
        <v>69</v>
      </c>
      <c r="AD78" s="2" t="s">
        <v>718</v>
      </c>
      <c r="AE78" s="2">
        <v>2.1</v>
      </c>
      <c r="AF78" s="2" t="s">
        <v>3301</v>
      </c>
      <c r="AG78" s="3" t="s">
        <v>3302</v>
      </c>
      <c r="AH78" s="3" t="s">
        <v>3303</v>
      </c>
      <c r="AI78" s="2">
        <v>1</v>
      </c>
      <c r="AJ78" s="2" t="s">
        <v>3304</v>
      </c>
      <c r="AK78" s="2" t="s">
        <v>121</v>
      </c>
      <c r="AL78" s="2" t="s">
        <v>3027</v>
      </c>
      <c r="AM78" s="68">
        <v>44365</v>
      </c>
      <c r="AN78" s="2" t="s">
        <v>122</v>
      </c>
      <c r="AO78" s="2" t="s">
        <v>109</v>
      </c>
      <c r="AP78" s="109" t="s">
        <v>109</v>
      </c>
      <c r="AQ78" s="2" t="b">
        <v>0</v>
      </c>
      <c r="AR78" s="2" t="s">
        <v>109</v>
      </c>
      <c r="AS78" s="2" t="s">
        <v>109</v>
      </c>
      <c r="AT78" s="2" t="s">
        <v>118</v>
      </c>
      <c r="AU78" s="2" t="b">
        <v>0</v>
      </c>
      <c r="AV78" s="2" t="s">
        <v>109</v>
      </c>
      <c r="AW78" s="2" t="s">
        <v>109</v>
      </c>
      <c r="AY78" s="2" t="s">
        <v>109</v>
      </c>
      <c r="AZ78" s="2" t="s">
        <v>109</v>
      </c>
      <c r="BA78" s="2" t="s">
        <v>109</v>
      </c>
      <c r="BB78" s="2" t="s">
        <v>109</v>
      </c>
      <c r="BC78" s="2" t="s">
        <v>135</v>
      </c>
      <c r="BD78" s="2" t="s">
        <v>109</v>
      </c>
      <c r="BE78" s="2" t="s">
        <v>109</v>
      </c>
      <c r="BF78" s="2" t="s">
        <v>109</v>
      </c>
      <c r="BG78" s="124" t="s">
        <v>425</v>
      </c>
      <c r="BH78" s="2" t="s">
        <v>109</v>
      </c>
      <c r="BI78" s="68">
        <v>45908</v>
      </c>
      <c r="BJ78" s="68">
        <v>45291</v>
      </c>
      <c r="BK78" s="68">
        <v>46210</v>
      </c>
      <c r="BL78" s="98" t="s">
        <v>240</v>
      </c>
      <c r="BM78" s="98" t="s">
        <v>109</v>
      </c>
      <c r="BN78" s="2" t="b">
        <v>1</v>
      </c>
      <c r="BO78" s="85" t="s">
        <v>118</v>
      </c>
      <c r="BP78" s="2" t="s">
        <v>128</v>
      </c>
      <c r="CF78" s="2">
        <v>2025</v>
      </c>
      <c r="CS78" s="142" t="s">
        <v>337</v>
      </c>
      <c r="CU78" s="132" t="s">
        <v>3028</v>
      </c>
      <c r="CW78" s="2" t="s">
        <v>3305</v>
      </c>
      <c r="CX78" s="38"/>
    </row>
    <row r="79" spans="1:102" x14ac:dyDescent="0.3">
      <c r="A79" s="4">
        <v>81</v>
      </c>
      <c r="B79" s="44" t="s">
        <v>723</v>
      </c>
      <c r="C79" s="57" t="s">
        <v>109</v>
      </c>
      <c r="D79" s="4" t="s">
        <v>109</v>
      </c>
      <c r="E79" s="6" t="s">
        <v>109</v>
      </c>
      <c r="F79" s="46" t="s">
        <v>724</v>
      </c>
      <c r="G79" s="4" t="s">
        <v>166</v>
      </c>
      <c r="H79" s="4" t="s">
        <v>146</v>
      </c>
      <c r="I79" s="4" t="s">
        <v>109</v>
      </c>
      <c r="J79" s="4" t="s">
        <v>109</v>
      </c>
      <c r="K79" s="4" t="s">
        <v>114</v>
      </c>
      <c r="L79" s="4" t="s">
        <v>251</v>
      </c>
      <c r="M79" s="4" t="s">
        <v>505</v>
      </c>
      <c r="N79" s="4" t="s">
        <v>109</v>
      </c>
      <c r="O79" s="4" t="s">
        <v>109</v>
      </c>
      <c r="Q79" s="4" t="s">
        <v>109</v>
      </c>
      <c r="R79" s="4" t="s">
        <v>109</v>
      </c>
      <c r="S79" s="4" t="s">
        <v>725</v>
      </c>
      <c r="T79" s="4" t="s">
        <v>109</v>
      </c>
      <c r="U79" s="4" t="s">
        <v>116</v>
      </c>
      <c r="V79" s="4" t="s">
        <v>3022</v>
      </c>
      <c r="W79" s="4" t="b">
        <v>0</v>
      </c>
      <c r="X79" s="4" t="s">
        <v>109</v>
      </c>
      <c r="Y79" s="4" t="s">
        <v>3306</v>
      </c>
      <c r="AA79" s="4" t="s">
        <v>118</v>
      </c>
      <c r="AB79" s="4" t="s">
        <v>118</v>
      </c>
      <c r="AC79" s="4" t="s">
        <v>119</v>
      </c>
      <c r="AD79" s="4" t="s">
        <v>109</v>
      </c>
      <c r="AE79" s="4">
        <v>2.1</v>
      </c>
      <c r="AF79" s="4" t="s">
        <v>3023</v>
      </c>
      <c r="AG79" s="5" t="s">
        <v>3302</v>
      </c>
      <c r="AH79" s="5" t="s">
        <v>3025</v>
      </c>
      <c r="AI79" s="4">
        <v>17</v>
      </c>
      <c r="AJ79" s="4" t="s">
        <v>3304</v>
      </c>
      <c r="AK79" s="4" t="s">
        <v>121</v>
      </c>
      <c r="AL79" s="4" t="s">
        <v>3027</v>
      </c>
      <c r="AM79" s="69">
        <v>45259</v>
      </c>
      <c r="AN79" s="4" t="s">
        <v>122</v>
      </c>
      <c r="AO79" s="4" t="s">
        <v>109</v>
      </c>
      <c r="AP79" s="217" t="s">
        <v>109</v>
      </c>
      <c r="AQ79" s="4" t="b">
        <v>0</v>
      </c>
      <c r="AR79" s="4" t="s">
        <v>109</v>
      </c>
      <c r="AS79" s="4" t="s">
        <v>109</v>
      </c>
      <c r="AT79" s="4" t="s">
        <v>118</v>
      </c>
      <c r="AU79" s="4" t="b">
        <v>0</v>
      </c>
      <c r="AV79" s="4" t="s">
        <v>109</v>
      </c>
      <c r="AW79" s="4" t="s">
        <v>118</v>
      </c>
      <c r="AY79" s="4" t="s">
        <v>109</v>
      </c>
      <c r="AZ79" s="4" t="s">
        <v>109</v>
      </c>
      <c r="BA79" s="4" t="s">
        <v>118</v>
      </c>
      <c r="BB79" s="4" t="s">
        <v>118</v>
      </c>
      <c r="BC79" s="4" t="s">
        <v>109</v>
      </c>
      <c r="BD79" s="69" t="s">
        <v>109</v>
      </c>
      <c r="BE79" s="6" t="s">
        <v>109</v>
      </c>
      <c r="BF79" s="4" t="s">
        <v>109</v>
      </c>
      <c r="BG79" s="4" t="s">
        <v>296</v>
      </c>
      <c r="BH79" s="4" t="s">
        <v>109</v>
      </c>
      <c r="BI79" s="69" t="s">
        <v>109</v>
      </c>
      <c r="BJ79" s="69">
        <v>45657</v>
      </c>
      <c r="BK79" s="69" t="s">
        <v>109</v>
      </c>
      <c r="BL79" s="97" t="s">
        <v>109</v>
      </c>
      <c r="BM79" s="4" t="s">
        <v>109</v>
      </c>
      <c r="BN79" s="4" t="b">
        <v>1</v>
      </c>
      <c r="BO79" s="130" t="s">
        <v>118</v>
      </c>
      <c r="BP79" s="4" t="s">
        <v>128</v>
      </c>
      <c r="CF79" s="4" t="s">
        <v>3307</v>
      </c>
      <c r="CS79" s="144"/>
      <c r="CU79" s="216" t="s">
        <v>3028</v>
      </c>
      <c r="CW79" s="4" t="s">
        <v>3029</v>
      </c>
      <c r="CX79" s="39"/>
    </row>
    <row r="80" spans="1:102" ht="39.6" x14ac:dyDescent="0.3">
      <c r="A80" s="2">
        <v>82</v>
      </c>
      <c r="B80" s="43" t="s">
        <v>727</v>
      </c>
      <c r="C80" s="51">
        <v>32.679000000000002</v>
      </c>
      <c r="D80" s="51">
        <v>-116.98399999999999</v>
      </c>
      <c r="E80" s="2" t="s">
        <v>191</v>
      </c>
      <c r="F80" s="47" t="s">
        <v>728</v>
      </c>
      <c r="G80" s="67" t="s">
        <v>166</v>
      </c>
      <c r="H80" s="67" t="s">
        <v>146</v>
      </c>
      <c r="I80" s="67" t="s">
        <v>113</v>
      </c>
      <c r="J80" s="67" t="s">
        <v>109</v>
      </c>
      <c r="K80" s="67" t="s">
        <v>114</v>
      </c>
      <c r="L80" s="67" t="s">
        <v>393</v>
      </c>
      <c r="M80" s="67" t="s">
        <v>109</v>
      </c>
      <c r="N80" s="67" t="s">
        <v>109</v>
      </c>
      <c r="O80" s="68">
        <v>45587</v>
      </c>
      <c r="Q80" s="67">
        <v>51</v>
      </c>
      <c r="R80" s="67" t="s">
        <v>109</v>
      </c>
      <c r="S80" s="2" t="s">
        <v>109</v>
      </c>
      <c r="T80" s="67" t="s">
        <v>109</v>
      </c>
      <c r="U80" s="2" t="s">
        <v>404</v>
      </c>
      <c r="V80" s="2" t="s">
        <v>3022</v>
      </c>
      <c r="W80" s="2" t="b">
        <v>0</v>
      </c>
      <c r="X80" s="2" t="s">
        <v>109</v>
      </c>
      <c r="Y80" s="2" t="s">
        <v>3306</v>
      </c>
      <c r="AA80" s="2" t="s">
        <v>109</v>
      </c>
      <c r="AB80" s="2">
        <v>12.37</v>
      </c>
      <c r="AC80" s="2">
        <v>69</v>
      </c>
      <c r="AD80" s="2" t="s">
        <v>148</v>
      </c>
      <c r="AE80" s="2">
        <v>2.1</v>
      </c>
      <c r="AF80" s="2" t="s">
        <v>3308</v>
      </c>
      <c r="AG80" s="3" t="s">
        <v>3302</v>
      </c>
      <c r="AH80" s="3" t="s">
        <v>3309</v>
      </c>
      <c r="AI80" s="2">
        <v>1</v>
      </c>
      <c r="AJ80" s="2" t="s">
        <v>3304</v>
      </c>
      <c r="AK80" s="2" t="s">
        <v>121</v>
      </c>
      <c r="AL80" s="2" t="s">
        <v>3027</v>
      </c>
      <c r="AM80" s="68">
        <v>44117</v>
      </c>
      <c r="AN80" s="2" t="s">
        <v>122</v>
      </c>
      <c r="AO80" s="2" t="s">
        <v>109</v>
      </c>
      <c r="AP80" s="109" t="s">
        <v>109</v>
      </c>
      <c r="AQ80" s="2" t="b">
        <v>0</v>
      </c>
      <c r="AR80" s="2" t="s">
        <v>109</v>
      </c>
      <c r="AS80" s="2" t="s">
        <v>109</v>
      </c>
      <c r="AT80" s="2" t="s">
        <v>118</v>
      </c>
      <c r="AU80" s="2" t="b">
        <v>0</v>
      </c>
      <c r="AV80" s="2" t="s">
        <v>109</v>
      </c>
      <c r="AW80" s="2" t="s">
        <v>109</v>
      </c>
      <c r="AY80" s="2" t="s">
        <v>109</v>
      </c>
      <c r="AZ80" s="2" t="s">
        <v>109</v>
      </c>
      <c r="BA80" s="2" t="s">
        <v>109</v>
      </c>
      <c r="BB80" s="2" t="s">
        <v>109</v>
      </c>
      <c r="BC80" s="2" t="s">
        <v>135</v>
      </c>
      <c r="BD80" s="2" t="s">
        <v>109</v>
      </c>
      <c r="BE80" s="2" t="s">
        <v>109</v>
      </c>
      <c r="BF80" s="2" t="s">
        <v>109</v>
      </c>
      <c r="BG80" s="2" t="s">
        <v>126</v>
      </c>
      <c r="BH80" s="2" t="s">
        <v>109</v>
      </c>
      <c r="BI80" s="68">
        <v>45308</v>
      </c>
      <c r="BJ80" s="68">
        <v>44440</v>
      </c>
      <c r="BK80" s="68">
        <v>45399</v>
      </c>
      <c r="BL80" s="98" t="s">
        <v>240</v>
      </c>
      <c r="BM80" s="98" t="s">
        <v>109</v>
      </c>
      <c r="BN80" s="2" t="b">
        <v>1</v>
      </c>
      <c r="BO80" s="85" t="s">
        <v>118</v>
      </c>
      <c r="BP80" s="2" t="s">
        <v>128</v>
      </c>
      <c r="CF80" s="2" t="s">
        <v>2295</v>
      </c>
      <c r="CS80" s="142" t="s">
        <v>337</v>
      </c>
      <c r="CU80" s="132" t="s">
        <v>3028</v>
      </c>
      <c r="CW80" s="2" t="s">
        <v>3043</v>
      </c>
      <c r="CX80" s="38"/>
    </row>
    <row r="81" spans="1:102" ht="39.6" x14ac:dyDescent="0.3">
      <c r="A81" s="4">
        <v>83</v>
      </c>
      <c r="B81" s="44" t="s">
        <v>735</v>
      </c>
      <c r="C81" s="53">
        <v>32.917000000000002</v>
      </c>
      <c r="D81" s="53">
        <v>-117.03100000000001</v>
      </c>
      <c r="E81" s="4" t="s">
        <v>191</v>
      </c>
      <c r="F81" s="46" t="s">
        <v>736</v>
      </c>
      <c r="G81" s="64" t="s">
        <v>166</v>
      </c>
      <c r="H81" s="64" t="s">
        <v>146</v>
      </c>
      <c r="I81" s="64" t="s">
        <v>113</v>
      </c>
      <c r="J81" s="64" t="s">
        <v>109</v>
      </c>
      <c r="K81" s="64" t="s">
        <v>114</v>
      </c>
      <c r="L81" s="64" t="s">
        <v>393</v>
      </c>
      <c r="M81" s="64" t="s">
        <v>109</v>
      </c>
      <c r="N81" s="64" t="s">
        <v>109</v>
      </c>
      <c r="O81" s="69">
        <v>45568</v>
      </c>
      <c r="Q81" s="64" t="s">
        <v>737</v>
      </c>
      <c r="R81" s="64" t="s">
        <v>109</v>
      </c>
      <c r="S81" s="4" t="s">
        <v>109</v>
      </c>
      <c r="T81" s="64" t="s">
        <v>109</v>
      </c>
      <c r="U81" s="4" t="s">
        <v>404</v>
      </c>
      <c r="V81" s="4" t="s">
        <v>3022</v>
      </c>
      <c r="W81" s="4" t="b">
        <v>0</v>
      </c>
      <c r="X81" s="4" t="s">
        <v>109</v>
      </c>
      <c r="Y81" s="4" t="s">
        <v>3306</v>
      </c>
      <c r="AA81" s="4" t="s">
        <v>109</v>
      </c>
      <c r="AB81" s="4">
        <v>10.79</v>
      </c>
      <c r="AC81" s="4">
        <v>69</v>
      </c>
      <c r="AD81" s="4" t="s">
        <v>738</v>
      </c>
      <c r="AE81" s="4">
        <v>2.1</v>
      </c>
      <c r="AF81" s="4" t="s">
        <v>3310</v>
      </c>
      <c r="AG81" s="5" t="s">
        <v>3302</v>
      </c>
      <c r="AH81" s="5" t="s">
        <v>3311</v>
      </c>
      <c r="AI81" s="4">
        <v>1</v>
      </c>
      <c r="AJ81" s="4" t="s">
        <v>3304</v>
      </c>
      <c r="AK81" s="4" t="s">
        <v>121</v>
      </c>
      <c r="AL81" s="4" t="s">
        <v>3027</v>
      </c>
      <c r="AM81" s="69">
        <v>43578</v>
      </c>
      <c r="AN81" s="4" t="s">
        <v>122</v>
      </c>
      <c r="AO81" s="4" t="s">
        <v>109</v>
      </c>
      <c r="AP81" s="217" t="s">
        <v>109</v>
      </c>
      <c r="AQ81" s="4" t="b">
        <v>0</v>
      </c>
      <c r="AR81" s="4" t="s">
        <v>109</v>
      </c>
      <c r="AS81" s="4" t="s">
        <v>109</v>
      </c>
      <c r="AT81" s="4" t="s">
        <v>118</v>
      </c>
      <c r="AU81" s="4" t="b">
        <v>0</v>
      </c>
      <c r="AV81" s="4" t="s">
        <v>109</v>
      </c>
      <c r="AW81" s="4" t="s">
        <v>109</v>
      </c>
      <c r="AY81" s="4" t="s">
        <v>109</v>
      </c>
      <c r="AZ81" s="4" t="s">
        <v>109</v>
      </c>
      <c r="BA81" s="4" t="s">
        <v>109</v>
      </c>
      <c r="BB81" s="4" t="s">
        <v>109</v>
      </c>
      <c r="BC81" s="4" t="s">
        <v>135</v>
      </c>
      <c r="BD81" s="4" t="s">
        <v>109</v>
      </c>
      <c r="BE81" s="4" t="s">
        <v>109</v>
      </c>
      <c r="BF81" s="4" t="s">
        <v>109</v>
      </c>
      <c r="BG81" s="4" t="s">
        <v>126</v>
      </c>
      <c r="BH81" s="4" t="s">
        <v>109</v>
      </c>
      <c r="BI81" s="69">
        <v>43955</v>
      </c>
      <c r="BJ81" s="69">
        <v>44196</v>
      </c>
      <c r="BK81" s="69">
        <v>44725</v>
      </c>
      <c r="BL81" s="97" t="s">
        <v>240</v>
      </c>
      <c r="BM81" s="97" t="s">
        <v>109</v>
      </c>
      <c r="BN81" s="97" t="b">
        <v>0</v>
      </c>
      <c r="BO81" s="130" t="s">
        <v>118</v>
      </c>
      <c r="BP81" s="4" t="s">
        <v>128</v>
      </c>
      <c r="CF81" s="4" t="s">
        <v>1209</v>
      </c>
      <c r="CS81" s="148" t="s">
        <v>337</v>
      </c>
      <c r="CU81" s="216" t="s">
        <v>3028</v>
      </c>
      <c r="CW81" s="4" t="s">
        <v>3312</v>
      </c>
      <c r="CX81" s="39"/>
    </row>
    <row r="82" spans="1:102" ht="52.8" x14ac:dyDescent="0.3">
      <c r="A82" s="2">
        <v>84</v>
      </c>
      <c r="B82" s="43" t="s">
        <v>741</v>
      </c>
      <c r="C82" s="52" t="s">
        <v>109</v>
      </c>
      <c r="D82" s="2" t="s">
        <v>109</v>
      </c>
      <c r="E82" s="2" t="s">
        <v>109</v>
      </c>
      <c r="F82" s="47" t="s">
        <v>742</v>
      </c>
      <c r="G82" s="67" t="s">
        <v>439</v>
      </c>
      <c r="H82" s="67" t="s">
        <v>146</v>
      </c>
      <c r="I82" s="67" t="s">
        <v>113</v>
      </c>
      <c r="J82" s="67" t="s">
        <v>109</v>
      </c>
      <c r="K82" s="67" t="s">
        <v>114</v>
      </c>
      <c r="L82" s="2" t="s">
        <v>432</v>
      </c>
      <c r="M82" s="67" t="s">
        <v>109</v>
      </c>
      <c r="N82" s="67" t="s">
        <v>109</v>
      </c>
      <c r="O82" s="68" t="s">
        <v>109</v>
      </c>
      <c r="Q82" s="67" t="s">
        <v>109</v>
      </c>
      <c r="R82" s="67" t="s">
        <v>109</v>
      </c>
      <c r="S82" s="67" t="s">
        <v>109</v>
      </c>
      <c r="T82" s="67" t="s">
        <v>109</v>
      </c>
      <c r="U82" s="2" t="s">
        <v>116</v>
      </c>
      <c r="V82" s="2" t="s">
        <v>3022</v>
      </c>
      <c r="W82" s="2" t="b">
        <v>0</v>
      </c>
      <c r="X82" s="2" t="s">
        <v>224</v>
      </c>
      <c r="Y82" s="2" t="s">
        <v>429</v>
      </c>
      <c r="AA82" s="2" t="s">
        <v>109</v>
      </c>
      <c r="AB82" s="2" t="s">
        <v>109</v>
      </c>
      <c r="AC82" s="7" t="s">
        <v>119</v>
      </c>
      <c r="AD82" s="90" t="s">
        <v>743</v>
      </c>
      <c r="AE82" s="2">
        <v>4.3</v>
      </c>
      <c r="AF82" s="2" t="s">
        <v>3313</v>
      </c>
      <c r="AG82" s="3" t="s">
        <v>3314</v>
      </c>
      <c r="AH82" s="3" t="s">
        <v>3025</v>
      </c>
      <c r="AI82" s="2">
        <v>44</v>
      </c>
      <c r="AJ82" s="2" t="s">
        <v>3315</v>
      </c>
      <c r="AK82" s="2" t="s">
        <v>121</v>
      </c>
      <c r="AL82" s="2" t="s">
        <v>3027</v>
      </c>
      <c r="AM82" s="68">
        <v>45252</v>
      </c>
      <c r="AN82" s="2" t="s">
        <v>122</v>
      </c>
      <c r="AO82" s="2" t="s">
        <v>109</v>
      </c>
      <c r="AP82" s="109" t="s">
        <v>109</v>
      </c>
      <c r="AQ82" s="2" t="b">
        <v>0</v>
      </c>
      <c r="AR82" s="2" t="s">
        <v>109</v>
      </c>
      <c r="AS82" s="2" t="s">
        <v>109</v>
      </c>
      <c r="AT82" s="2" t="s">
        <v>109</v>
      </c>
      <c r="AU82" s="2" t="b">
        <v>0</v>
      </c>
      <c r="AV82" s="2" t="s">
        <v>123</v>
      </c>
      <c r="AW82" s="2" t="s">
        <v>118</v>
      </c>
      <c r="AY82" s="2" t="s">
        <v>109</v>
      </c>
      <c r="AZ82" s="2" t="s">
        <v>109</v>
      </c>
      <c r="BA82" s="2" t="s">
        <v>226</v>
      </c>
      <c r="BB82" s="2" t="s">
        <v>118</v>
      </c>
      <c r="BC82" s="2" t="s">
        <v>135</v>
      </c>
      <c r="BD82" s="2" t="s">
        <v>109</v>
      </c>
      <c r="BE82" s="2" t="s">
        <v>109</v>
      </c>
      <c r="BF82" s="2" t="s">
        <v>109</v>
      </c>
      <c r="BG82" s="2" t="s">
        <v>126</v>
      </c>
      <c r="BH82" s="2" t="s">
        <v>109</v>
      </c>
      <c r="BI82" s="68" t="s">
        <v>109</v>
      </c>
      <c r="BJ82" s="68">
        <v>45657</v>
      </c>
      <c r="BK82" s="68" t="s">
        <v>109</v>
      </c>
      <c r="BL82" s="98" t="s">
        <v>109</v>
      </c>
      <c r="BM82" s="98" t="s">
        <v>109</v>
      </c>
      <c r="BN82" s="2" t="b">
        <v>1</v>
      </c>
      <c r="BO82" s="85" t="s">
        <v>118</v>
      </c>
      <c r="BP82" s="2" t="s">
        <v>128</v>
      </c>
      <c r="CF82" s="2" t="s">
        <v>3316</v>
      </c>
      <c r="CS82" s="142" t="s">
        <v>3317</v>
      </c>
      <c r="CU82" s="132" t="s">
        <v>3060</v>
      </c>
      <c r="CW82" s="2" t="s">
        <v>3029</v>
      </c>
      <c r="CX82" s="220" t="s">
        <v>3318</v>
      </c>
    </row>
    <row r="83" spans="1:102" x14ac:dyDescent="0.3">
      <c r="A83" s="4">
        <v>85</v>
      </c>
      <c r="B83" s="44" t="s">
        <v>748</v>
      </c>
      <c r="C83" s="53">
        <v>33.119</v>
      </c>
      <c r="D83" s="53">
        <v>-117.117</v>
      </c>
      <c r="E83" s="4" t="s">
        <v>749</v>
      </c>
      <c r="F83" s="46" t="s">
        <v>750</v>
      </c>
      <c r="G83" s="64" t="s">
        <v>439</v>
      </c>
      <c r="H83" s="4" t="s">
        <v>113</v>
      </c>
      <c r="I83" s="4" t="s">
        <v>109</v>
      </c>
      <c r="J83" s="4" t="s">
        <v>109</v>
      </c>
      <c r="K83" s="4" t="s">
        <v>114</v>
      </c>
      <c r="L83" s="4" t="s">
        <v>432</v>
      </c>
      <c r="M83" s="4" t="s">
        <v>109</v>
      </c>
      <c r="N83" s="4" t="s">
        <v>109</v>
      </c>
      <c r="O83" s="69">
        <v>45579</v>
      </c>
      <c r="Q83" s="4" t="s">
        <v>109</v>
      </c>
      <c r="R83" s="4" t="s">
        <v>109</v>
      </c>
      <c r="S83" s="4" t="s">
        <v>109</v>
      </c>
      <c r="T83" s="4" t="s">
        <v>109</v>
      </c>
      <c r="U83" s="4" t="s">
        <v>116</v>
      </c>
      <c r="V83" s="4" t="s">
        <v>3022</v>
      </c>
      <c r="W83" s="4" t="b">
        <v>0</v>
      </c>
      <c r="X83" s="4" t="s">
        <v>109</v>
      </c>
      <c r="Y83" s="4" t="s">
        <v>429</v>
      </c>
      <c r="AA83" s="4" t="s">
        <v>109</v>
      </c>
      <c r="AB83" s="4" t="s">
        <v>109</v>
      </c>
      <c r="AC83" s="4" t="s">
        <v>433</v>
      </c>
      <c r="AD83" s="4" t="s">
        <v>109</v>
      </c>
      <c r="AE83" s="4">
        <v>4.3</v>
      </c>
      <c r="AF83" s="4" t="s">
        <v>3023</v>
      </c>
      <c r="AG83" s="5" t="s">
        <v>3314</v>
      </c>
      <c r="AH83" s="5" t="s">
        <v>3319</v>
      </c>
      <c r="AI83" s="4">
        <v>2</v>
      </c>
      <c r="AJ83" s="4" t="s">
        <v>3315</v>
      </c>
      <c r="AK83" s="4" t="s">
        <v>121</v>
      </c>
      <c r="AL83" s="4" t="s">
        <v>3027</v>
      </c>
      <c r="AM83" s="69">
        <v>45231</v>
      </c>
      <c r="AN83" s="4" t="s">
        <v>122</v>
      </c>
      <c r="AO83" s="4" t="s">
        <v>109</v>
      </c>
      <c r="AP83" s="217" t="s">
        <v>109</v>
      </c>
      <c r="AQ83" s="4" t="b">
        <v>0</v>
      </c>
      <c r="AR83" s="4" t="s">
        <v>109</v>
      </c>
      <c r="AS83" s="4" t="s">
        <v>109</v>
      </c>
      <c r="AT83" s="4" t="s">
        <v>109</v>
      </c>
      <c r="AU83" s="4" t="b">
        <v>0</v>
      </c>
      <c r="AV83" s="4" t="s">
        <v>109</v>
      </c>
      <c r="AW83" s="4" t="s">
        <v>118</v>
      </c>
      <c r="AY83" s="4" t="s">
        <v>109</v>
      </c>
      <c r="AZ83" s="4" t="s">
        <v>109</v>
      </c>
      <c r="BA83" s="4" t="s">
        <v>118</v>
      </c>
      <c r="BB83" s="4" t="s">
        <v>118</v>
      </c>
      <c r="BC83" s="4" t="s">
        <v>135</v>
      </c>
      <c r="BD83" s="69" t="s">
        <v>109</v>
      </c>
      <c r="BE83" s="6" t="s">
        <v>109</v>
      </c>
      <c r="BF83" s="4" t="s">
        <v>109</v>
      </c>
      <c r="BG83" s="4" t="s">
        <v>150</v>
      </c>
      <c r="BH83" s="4" t="s">
        <v>109</v>
      </c>
      <c r="BI83" s="75">
        <v>45033</v>
      </c>
      <c r="BJ83" s="69">
        <v>45291</v>
      </c>
      <c r="BK83" s="75">
        <v>45590</v>
      </c>
      <c r="BL83" s="97" t="s">
        <v>109</v>
      </c>
      <c r="BM83" s="4" t="s">
        <v>109</v>
      </c>
      <c r="BN83" s="4" t="b">
        <v>1</v>
      </c>
      <c r="BO83" s="130" t="s">
        <v>118</v>
      </c>
      <c r="BP83" s="4" t="s">
        <v>128</v>
      </c>
      <c r="CF83" s="4">
        <v>2025</v>
      </c>
      <c r="CS83" s="143" t="s">
        <v>3320</v>
      </c>
      <c r="CU83" s="216" t="s">
        <v>3060</v>
      </c>
      <c r="CW83" s="4" t="s">
        <v>3321</v>
      </c>
      <c r="CX83" s="39"/>
    </row>
    <row r="84" spans="1:102" ht="66" x14ac:dyDescent="0.3">
      <c r="A84" s="2">
        <v>86</v>
      </c>
      <c r="B84" s="43" t="s">
        <v>754</v>
      </c>
      <c r="C84" s="52" t="s">
        <v>109</v>
      </c>
      <c r="D84" s="2" t="s">
        <v>109</v>
      </c>
      <c r="E84" s="2" t="s">
        <v>109</v>
      </c>
      <c r="F84" s="47" t="s">
        <v>750</v>
      </c>
      <c r="G84" s="67" t="s">
        <v>439</v>
      </c>
      <c r="H84" s="2" t="s">
        <v>113</v>
      </c>
      <c r="I84" s="2" t="s">
        <v>109</v>
      </c>
      <c r="J84" s="2" t="s">
        <v>109</v>
      </c>
      <c r="K84" s="2" t="s">
        <v>114</v>
      </c>
      <c r="L84" s="2" t="s">
        <v>432</v>
      </c>
      <c r="M84" s="2" t="s">
        <v>109</v>
      </c>
      <c r="N84" s="2" t="s">
        <v>109</v>
      </c>
      <c r="O84" s="2" t="s">
        <v>109</v>
      </c>
      <c r="Q84" s="2" t="s">
        <v>109</v>
      </c>
      <c r="R84" s="2" t="s">
        <v>109</v>
      </c>
      <c r="S84" s="2" t="s">
        <v>109</v>
      </c>
      <c r="T84" s="2" t="s">
        <v>109</v>
      </c>
      <c r="U84" s="2" t="s">
        <v>116</v>
      </c>
      <c r="V84" s="2" t="s">
        <v>3022</v>
      </c>
      <c r="W84" s="2" t="b">
        <v>0</v>
      </c>
      <c r="X84" s="2" t="s">
        <v>109</v>
      </c>
      <c r="Y84" s="2" t="s">
        <v>429</v>
      </c>
      <c r="AA84" s="2" t="s">
        <v>109</v>
      </c>
      <c r="AB84" s="2" t="s">
        <v>109</v>
      </c>
      <c r="AC84" s="2" t="s">
        <v>433</v>
      </c>
      <c r="AD84" s="2" t="s">
        <v>109</v>
      </c>
      <c r="AE84" s="2">
        <v>4.3</v>
      </c>
      <c r="AF84" s="2" t="s">
        <v>3023</v>
      </c>
      <c r="AG84" s="3" t="s">
        <v>3314</v>
      </c>
      <c r="AH84" s="3" t="s">
        <v>3322</v>
      </c>
      <c r="AI84" s="2">
        <v>22</v>
      </c>
      <c r="AJ84" s="2" t="s">
        <v>3315</v>
      </c>
      <c r="AK84" s="2" t="s">
        <v>121</v>
      </c>
      <c r="AL84" s="2" t="s">
        <v>3027</v>
      </c>
      <c r="AM84" s="68">
        <v>43182</v>
      </c>
      <c r="AN84" s="2" t="s">
        <v>122</v>
      </c>
      <c r="AO84" s="2" t="s">
        <v>109</v>
      </c>
      <c r="AP84" s="109" t="s">
        <v>109</v>
      </c>
      <c r="AQ84" s="2" t="b">
        <v>0</v>
      </c>
      <c r="AR84" s="2" t="s">
        <v>109</v>
      </c>
      <c r="AS84" s="2" t="s">
        <v>109</v>
      </c>
      <c r="AT84" s="2" t="s">
        <v>109</v>
      </c>
      <c r="AU84" s="2" t="b">
        <v>0</v>
      </c>
      <c r="AV84" s="2" t="s">
        <v>109</v>
      </c>
      <c r="AW84" s="2" t="s">
        <v>118</v>
      </c>
      <c r="AY84" s="2" t="s">
        <v>109</v>
      </c>
      <c r="AZ84" s="2" t="s">
        <v>109</v>
      </c>
      <c r="BA84" s="2" t="s">
        <v>118</v>
      </c>
      <c r="BB84" s="2" t="s">
        <v>118</v>
      </c>
      <c r="BC84" s="2" t="s">
        <v>135</v>
      </c>
      <c r="BD84" s="68" t="s">
        <v>109</v>
      </c>
      <c r="BE84" s="7" t="s">
        <v>109</v>
      </c>
      <c r="BF84" s="2" t="s">
        <v>109</v>
      </c>
      <c r="BG84" s="2" t="s">
        <v>322</v>
      </c>
      <c r="BH84" s="2" t="s">
        <v>109</v>
      </c>
      <c r="BI84" s="76">
        <v>45033</v>
      </c>
      <c r="BJ84" s="68">
        <v>43555</v>
      </c>
      <c r="BK84" s="76" t="s">
        <v>109</v>
      </c>
      <c r="BL84" s="98" t="s">
        <v>109</v>
      </c>
      <c r="BM84" s="2" t="s">
        <v>109</v>
      </c>
      <c r="BN84" s="2" t="b">
        <v>1</v>
      </c>
      <c r="BO84" s="85" t="s">
        <v>118</v>
      </c>
      <c r="BP84" s="2" t="s">
        <v>128</v>
      </c>
      <c r="CF84" s="2" t="s">
        <v>528</v>
      </c>
      <c r="CS84" s="142" t="s">
        <v>756</v>
      </c>
      <c r="CU84" s="132" t="s">
        <v>3060</v>
      </c>
      <c r="CW84" s="2" t="s">
        <v>3029</v>
      </c>
      <c r="CX84" s="38"/>
    </row>
    <row r="85" spans="1:102" x14ac:dyDescent="0.3">
      <c r="A85" s="4">
        <v>87</v>
      </c>
      <c r="B85" s="217" t="s">
        <v>3323</v>
      </c>
      <c r="C85" s="56"/>
      <c r="D85" s="4"/>
      <c r="E85" s="4"/>
      <c r="F85" s="46"/>
      <c r="G85" s="64"/>
      <c r="H85" s="64"/>
      <c r="I85" s="64"/>
      <c r="J85" s="64"/>
      <c r="K85" s="64"/>
      <c r="L85" s="64"/>
      <c r="M85" s="64"/>
      <c r="N85" s="64"/>
      <c r="O85" s="64"/>
      <c r="Q85" s="64"/>
      <c r="R85" s="64"/>
      <c r="S85" s="64"/>
      <c r="T85" s="64"/>
      <c r="U85" s="87"/>
      <c r="V85" s="4"/>
      <c r="W85" s="4"/>
      <c r="X85" s="4"/>
      <c r="Y85" s="4" t="s">
        <v>3324</v>
      </c>
      <c r="AA85" s="4"/>
      <c r="AB85" s="4"/>
      <c r="AC85" s="4"/>
      <c r="AD85" s="91"/>
      <c r="AE85" s="4"/>
      <c r="AF85" s="4" t="s">
        <v>3051</v>
      </c>
      <c r="AG85" s="5" t="s">
        <v>3314</v>
      </c>
      <c r="AH85" s="5" t="s">
        <v>3325</v>
      </c>
      <c r="AI85" s="4"/>
      <c r="AJ85" s="4" t="s">
        <v>3315</v>
      </c>
      <c r="AK85" s="4"/>
      <c r="AL85" s="4" t="s">
        <v>3053</v>
      </c>
      <c r="AM85" s="69"/>
      <c r="AN85" s="91"/>
      <c r="AO85" s="4"/>
      <c r="AP85" s="217"/>
      <c r="AQ85" s="4"/>
      <c r="AR85" s="4"/>
      <c r="AS85" s="4"/>
      <c r="AT85" s="4"/>
      <c r="AU85" s="91"/>
      <c r="AV85" s="4"/>
      <c r="AW85" s="4"/>
      <c r="AY85" s="4"/>
      <c r="AZ85" s="4"/>
      <c r="BA85" s="4"/>
      <c r="BB85" s="4"/>
      <c r="BC85" s="4"/>
      <c r="BD85" s="4"/>
      <c r="BE85" s="4"/>
      <c r="BF85" s="4"/>
      <c r="BG85" s="4"/>
      <c r="BH85" s="4"/>
      <c r="BI85" s="69"/>
      <c r="BJ85" s="69"/>
      <c r="BK85" s="69"/>
      <c r="BL85" s="97"/>
      <c r="BM85" s="4"/>
      <c r="BN85" s="4"/>
      <c r="BO85" s="91"/>
      <c r="BP85" s="4"/>
      <c r="CF85" s="4"/>
      <c r="CS85" s="147"/>
      <c r="CU85" s="216" t="s">
        <v>3028</v>
      </c>
      <c r="CW85" s="4" t="s">
        <v>3054</v>
      </c>
      <c r="CX85" s="39"/>
    </row>
    <row r="86" spans="1:102" x14ac:dyDescent="0.3">
      <c r="A86" s="2">
        <v>88</v>
      </c>
      <c r="B86" s="43" t="s">
        <v>760</v>
      </c>
      <c r="C86" s="51">
        <v>33.283186000000001</v>
      </c>
      <c r="D86" s="51">
        <v>-117.43718800000001</v>
      </c>
      <c r="E86" s="2" t="s">
        <v>761</v>
      </c>
      <c r="F86" s="47" t="s">
        <v>3326</v>
      </c>
      <c r="G86" s="2" t="s">
        <v>661</v>
      </c>
      <c r="H86" s="2" t="s">
        <v>146</v>
      </c>
      <c r="I86" s="2" t="s">
        <v>113</v>
      </c>
      <c r="J86" s="2" t="s">
        <v>109</v>
      </c>
      <c r="K86" s="2" t="s">
        <v>662</v>
      </c>
      <c r="L86" s="2" t="s">
        <v>663</v>
      </c>
      <c r="M86" s="2" t="s">
        <v>505</v>
      </c>
      <c r="N86" s="2" t="s">
        <v>109</v>
      </c>
      <c r="O86" s="68">
        <v>45498</v>
      </c>
      <c r="Q86" s="2">
        <v>58</v>
      </c>
      <c r="R86" s="2" t="s">
        <v>508</v>
      </c>
      <c r="S86" s="2" t="s">
        <v>509</v>
      </c>
      <c r="T86" s="2" t="s">
        <v>109</v>
      </c>
      <c r="U86" s="2" t="s">
        <v>404</v>
      </c>
      <c r="V86" s="2" t="s">
        <v>3201</v>
      </c>
      <c r="W86" s="2" t="b">
        <v>0</v>
      </c>
      <c r="X86" s="2" t="s">
        <v>109</v>
      </c>
      <c r="Y86" s="2" t="s">
        <v>672</v>
      </c>
      <c r="AA86" s="51">
        <v>5.3506109999999998</v>
      </c>
      <c r="AB86" s="2" t="s">
        <v>118</v>
      </c>
      <c r="AC86" s="2">
        <v>69</v>
      </c>
      <c r="AD86" s="2" t="s">
        <v>109</v>
      </c>
      <c r="AE86" s="2">
        <v>1.2</v>
      </c>
      <c r="AF86" s="2" t="s">
        <v>3327</v>
      </c>
      <c r="AG86" s="3" t="s">
        <v>3328</v>
      </c>
      <c r="AH86" s="3" t="s">
        <v>3329</v>
      </c>
      <c r="AI86" s="2">
        <v>1</v>
      </c>
      <c r="AJ86" s="2" t="s">
        <v>3330</v>
      </c>
      <c r="AK86" s="2" t="s">
        <v>121</v>
      </c>
      <c r="AL86" s="2" t="s">
        <v>3053</v>
      </c>
      <c r="AM86" s="68" t="s">
        <v>109</v>
      </c>
      <c r="AN86" s="2" t="s">
        <v>122</v>
      </c>
      <c r="AO86" s="2">
        <v>2012</v>
      </c>
      <c r="AP86" s="109">
        <v>2014</v>
      </c>
      <c r="AQ86" s="2" t="b">
        <v>0</v>
      </c>
      <c r="AR86" s="2">
        <v>2014</v>
      </c>
      <c r="AS86" s="2" t="s">
        <v>109</v>
      </c>
      <c r="AT86" s="2" t="s">
        <v>766</v>
      </c>
      <c r="AU86" s="2" t="b">
        <v>0</v>
      </c>
      <c r="AV86" s="2" t="s">
        <v>109</v>
      </c>
      <c r="AW86" s="2" t="s">
        <v>118</v>
      </c>
      <c r="AY86" s="2" t="s">
        <v>124</v>
      </c>
      <c r="AZ86" s="2" t="s">
        <v>109</v>
      </c>
      <c r="BA86" s="2" t="s">
        <v>226</v>
      </c>
      <c r="BB86" s="2" t="s">
        <v>767</v>
      </c>
      <c r="BC86" s="2" t="s">
        <v>492</v>
      </c>
      <c r="BD86" s="2">
        <v>45896</v>
      </c>
      <c r="BE86" s="2" t="s">
        <v>125</v>
      </c>
      <c r="BF86" s="2">
        <v>2027</v>
      </c>
      <c r="BG86" s="2" t="s">
        <v>425</v>
      </c>
      <c r="BH86" s="2" t="s">
        <v>109</v>
      </c>
      <c r="BI86" s="68">
        <v>46828</v>
      </c>
      <c r="BJ86" s="68">
        <v>42156</v>
      </c>
      <c r="BK86" s="68">
        <v>47198</v>
      </c>
      <c r="BL86" s="98" t="s">
        <v>326</v>
      </c>
      <c r="BM86" s="2" t="s">
        <v>699</v>
      </c>
      <c r="BN86" s="98" t="b">
        <v>0</v>
      </c>
      <c r="BO86" s="85">
        <v>142840.72513000001</v>
      </c>
      <c r="BP86" s="2" t="s">
        <v>128</v>
      </c>
      <c r="CF86" s="2" t="s">
        <v>3039</v>
      </c>
      <c r="CS86" s="145"/>
      <c r="CU86" s="132" t="s">
        <v>3187</v>
      </c>
      <c r="CW86" s="2" t="s">
        <v>3331</v>
      </c>
      <c r="CX86" s="38"/>
    </row>
    <row r="87" spans="1:102" x14ac:dyDescent="0.3">
      <c r="A87" s="4">
        <v>89</v>
      </c>
      <c r="B87" s="44" t="s">
        <v>772</v>
      </c>
      <c r="C87" s="53">
        <v>33.329444000000002</v>
      </c>
      <c r="D87" s="53">
        <v>-117.25041299999999</v>
      </c>
      <c r="E87" s="4" t="s">
        <v>773</v>
      </c>
      <c r="F87" s="46" t="s">
        <v>3332</v>
      </c>
      <c r="G87" s="4" t="s">
        <v>661</v>
      </c>
      <c r="H87" s="4" t="s">
        <v>146</v>
      </c>
      <c r="I87" s="4" t="s">
        <v>109</v>
      </c>
      <c r="J87" s="4" t="s">
        <v>109</v>
      </c>
      <c r="K87" s="4" t="s">
        <v>662</v>
      </c>
      <c r="L87" s="4" t="s">
        <v>663</v>
      </c>
      <c r="M87" s="4" t="s">
        <v>109</v>
      </c>
      <c r="N87" s="4" t="s">
        <v>109</v>
      </c>
      <c r="O87" s="69">
        <v>45332</v>
      </c>
      <c r="Q87" s="4">
        <v>47</v>
      </c>
      <c r="R87" s="4" t="s">
        <v>109</v>
      </c>
      <c r="S87" s="4" t="s">
        <v>109</v>
      </c>
      <c r="T87" s="4" t="s">
        <v>109</v>
      </c>
      <c r="U87" s="4" t="s">
        <v>404</v>
      </c>
      <c r="V87" s="4" t="s">
        <v>3201</v>
      </c>
      <c r="W87" s="4" t="b">
        <v>0</v>
      </c>
      <c r="X87" s="4" t="s">
        <v>109</v>
      </c>
      <c r="Y87" s="4" t="s">
        <v>672</v>
      </c>
      <c r="AA87" s="53">
        <v>11.548520999999999</v>
      </c>
      <c r="AB87" s="4" t="s">
        <v>118</v>
      </c>
      <c r="AC87" s="4">
        <v>69</v>
      </c>
      <c r="AD87" s="4" t="s">
        <v>109</v>
      </c>
      <c r="AE87" s="4">
        <v>1.2</v>
      </c>
      <c r="AF87" s="4" t="s">
        <v>3333</v>
      </c>
      <c r="AG87" s="5" t="s">
        <v>3334</v>
      </c>
      <c r="AH87" s="5" t="s">
        <v>3335</v>
      </c>
      <c r="AI87" s="4">
        <v>1</v>
      </c>
      <c r="AJ87" s="4" t="s">
        <v>3336</v>
      </c>
      <c r="AK87" s="4" t="s">
        <v>121</v>
      </c>
      <c r="AL87" s="4" t="s">
        <v>3027</v>
      </c>
      <c r="AM87" s="69" t="s">
        <v>3337</v>
      </c>
      <c r="AN87" s="4" t="s">
        <v>122</v>
      </c>
      <c r="AO87" s="4">
        <v>2012</v>
      </c>
      <c r="AP87" s="217" t="s">
        <v>118</v>
      </c>
      <c r="AQ87" s="4" t="b">
        <v>0</v>
      </c>
      <c r="AR87" s="4" t="s">
        <v>118</v>
      </c>
      <c r="AS87" s="4" t="s">
        <v>118</v>
      </c>
      <c r="AT87" s="4" t="s">
        <v>118</v>
      </c>
      <c r="AU87" s="4" t="b">
        <v>0</v>
      </c>
      <c r="AV87" s="4" t="s">
        <v>109</v>
      </c>
      <c r="AW87" s="69">
        <v>43770</v>
      </c>
      <c r="AY87" s="4" t="s">
        <v>124</v>
      </c>
      <c r="AZ87" s="4" t="s">
        <v>539</v>
      </c>
      <c r="BA87" s="4" t="s">
        <v>226</v>
      </c>
      <c r="BB87" s="4" t="s">
        <v>767</v>
      </c>
      <c r="BC87" s="4" t="s">
        <v>666</v>
      </c>
      <c r="BD87" s="4">
        <v>44168</v>
      </c>
      <c r="BE87" s="4" t="s">
        <v>494</v>
      </c>
      <c r="BF87" s="4">
        <v>2021</v>
      </c>
      <c r="BG87" s="4" t="s">
        <v>126</v>
      </c>
      <c r="BH87" s="4" t="s">
        <v>109</v>
      </c>
      <c r="BI87" s="69">
        <v>45044</v>
      </c>
      <c r="BJ87" s="69">
        <v>45351</v>
      </c>
      <c r="BK87" s="69">
        <v>45308</v>
      </c>
      <c r="BL87" s="97" t="s">
        <v>109</v>
      </c>
      <c r="BM87" s="4" t="s">
        <v>109</v>
      </c>
      <c r="BN87" s="4" t="b">
        <v>1</v>
      </c>
      <c r="BO87" s="130">
        <v>43446.39518</v>
      </c>
      <c r="BP87" s="4" t="s">
        <v>128</v>
      </c>
      <c r="CF87" s="4" t="s">
        <v>196</v>
      </c>
      <c r="CS87" s="149"/>
      <c r="CU87" s="216" t="s">
        <v>3187</v>
      </c>
      <c r="CW87" s="4" t="s">
        <v>3338</v>
      </c>
      <c r="CX87" s="39"/>
    </row>
    <row r="88" spans="1:102" x14ac:dyDescent="0.3">
      <c r="A88" s="2">
        <v>90</v>
      </c>
      <c r="B88" s="43" t="s">
        <v>781</v>
      </c>
      <c r="C88" s="51">
        <v>33.344808</v>
      </c>
      <c r="D88" s="51">
        <v>-117.51017299999999</v>
      </c>
      <c r="E88" s="2" t="s">
        <v>761</v>
      </c>
      <c r="F88" s="47" t="s">
        <v>3339</v>
      </c>
      <c r="G88" s="2" t="s">
        <v>661</v>
      </c>
      <c r="H88" s="2" t="s">
        <v>146</v>
      </c>
      <c r="I88" s="2" t="s">
        <v>109</v>
      </c>
      <c r="J88" s="2" t="s">
        <v>109</v>
      </c>
      <c r="K88" s="2" t="s">
        <v>662</v>
      </c>
      <c r="L88" s="2" t="s">
        <v>663</v>
      </c>
      <c r="M88" s="2" t="s">
        <v>109</v>
      </c>
      <c r="N88" s="2" t="s">
        <v>109</v>
      </c>
      <c r="O88" s="68">
        <v>45454</v>
      </c>
      <c r="Q88" s="2">
        <v>52</v>
      </c>
      <c r="R88" s="2" t="s">
        <v>109</v>
      </c>
      <c r="S88" s="2" t="s">
        <v>109</v>
      </c>
      <c r="T88" s="2" t="s">
        <v>109</v>
      </c>
      <c r="U88" s="2" t="s">
        <v>404</v>
      </c>
      <c r="V88" s="2" t="s">
        <v>3201</v>
      </c>
      <c r="W88" s="2" t="b">
        <v>0</v>
      </c>
      <c r="X88" s="2" t="s">
        <v>109</v>
      </c>
      <c r="Y88" s="2" t="s">
        <v>672</v>
      </c>
      <c r="AA88" s="51">
        <v>6.6533340000000001</v>
      </c>
      <c r="AB88" s="2" t="s">
        <v>118</v>
      </c>
      <c r="AC88" s="2">
        <v>69</v>
      </c>
      <c r="AD88" s="2" t="s">
        <v>109</v>
      </c>
      <c r="AE88" s="2">
        <v>1.2</v>
      </c>
      <c r="AF88" s="2" t="s">
        <v>3340</v>
      </c>
      <c r="AG88" s="3" t="s">
        <v>3341</v>
      </c>
      <c r="AH88" s="3" t="s">
        <v>3342</v>
      </c>
      <c r="AI88" s="2">
        <v>1</v>
      </c>
      <c r="AJ88" s="2" t="s">
        <v>3343</v>
      </c>
      <c r="AK88" s="2" t="s">
        <v>121</v>
      </c>
      <c r="AL88" s="2" t="s">
        <v>3027</v>
      </c>
      <c r="AM88" s="68">
        <v>43880</v>
      </c>
      <c r="AN88" s="2" t="s">
        <v>122</v>
      </c>
      <c r="AO88" s="2">
        <v>2012</v>
      </c>
      <c r="AP88" s="109">
        <v>2014</v>
      </c>
      <c r="AQ88" s="2" t="b">
        <v>0</v>
      </c>
      <c r="AR88" s="2" t="s">
        <v>109</v>
      </c>
      <c r="AS88" s="2" t="s">
        <v>109</v>
      </c>
      <c r="AT88" s="2" t="s">
        <v>118</v>
      </c>
      <c r="AU88" s="2" t="b">
        <v>0</v>
      </c>
      <c r="AV88" s="2" t="s">
        <v>109</v>
      </c>
      <c r="AW88" s="68">
        <v>43665</v>
      </c>
      <c r="AY88" s="2" t="s">
        <v>124</v>
      </c>
      <c r="AZ88" s="2" t="s">
        <v>539</v>
      </c>
      <c r="BA88" s="2" t="s">
        <v>226</v>
      </c>
      <c r="BB88" s="2" t="s">
        <v>767</v>
      </c>
      <c r="BC88" s="2" t="s">
        <v>135</v>
      </c>
      <c r="BD88" s="2" t="s">
        <v>109</v>
      </c>
      <c r="BE88" s="2" t="s">
        <v>494</v>
      </c>
      <c r="BF88" s="2">
        <v>2021</v>
      </c>
      <c r="BG88" s="2" t="s">
        <v>126</v>
      </c>
      <c r="BH88" s="2" t="s">
        <v>109</v>
      </c>
      <c r="BI88" s="110">
        <v>44333</v>
      </c>
      <c r="BJ88" s="68">
        <v>44501</v>
      </c>
      <c r="BK88" s="68">
        <v>44501</v>
      </c>
      <c r="BL88" s="98" t="s">
        <v>109</v>
      </c>
      <c r="BM88" s="2" t="s">
        <v>109</v>
      </c>
      <c r="BN88" s="2" t="b">
        <v>1</v>
      </c>
      <c r="BO88" s="85">
        <v>24755.77059</v>
      </c>
      <c r="BP88" s="2" t="s">
        <v>128</v>
      </c>
      <c r="CF88" s="2" t="s">
        <v>460</v>
      </c>
      <c r="CS88" s="145"/>
      <c r="CU88" s="132" t="s">
        <v>3187</v>
      </c>
      <c r="CW88" s="2" t="s">
        <v>3344</v>
      </c>
      <c r="CX88" s="38"/>
    </row>
    <row r="89" spans="1:102" x14ac:dyDescent="0.3">
      <c r="A89" s="4">
        <v>91</v>
      </c>
      <c r="B89" s="44" t="s">
        <v>788</v>
      </c>
      <c r="C89" s="53">
        <v>33.401775000000001</v>
      </c>
      <c r="D89" s="53">
        <v>-117.592285</v>
      </c>
      <c r="E89" s="4" t="s">
        <v>789</v>
      </c>
      <c r="F89" s="46" t="s">
        <v>3345</v>
      </c>
      <c r="G89" s="4" t="s">
        <v>661</v>
      </c>
      <c r="H89" s="4" t="s">
        <v>146</v>
      </c>
      <c r="I89" s="4" t="s">
        <v>112</v>
      </c>
      <c r="J89" s="4" t="s">
        <v>109</v>
      </c>
      <c r="K89" s="4" t="s">
        <v>662</v>
      </c>
      <c r="L89" s="4" t="s">
        <v>663</v>
      </c>
      <c r="M89" s="4" t="s">
        <v>505</v>
      </c>
      <c r="N89" s="4" t="s">
        <v>109</v>
      </c>
      <c r="O89" s="69">
        <v>45332.5</v>
      </c>
      <c r="Q89" s="4">
        <v>56</v>
      </c>
      <c r="R89" s="4" t="s">
        <v>508</v>
      </c>
      <c r="S89" s="4" t="s">
        <v>509</v>
      </c>
      <c r="T89" s="4" t="s">
        <v>109</v>
      </c>
      <c r="U89" s="4" t="s">
        <v>404</v>
      </c>
      <c r="V89" s="4" t="s">
        <v>3201</v>
      </c>
      <c r="W89" s="4" t="b">
        <v>0</v>
      </c>
      <c r="X89" s="4" t="s">
        <v>109</v>
      </c>
      <c r="Y89" s="4" t="s">
        <v>672</v>
      </c>
      <c r="AA89" s="53">
        <v>7.8007609999999996</v>
      </c>
      <c r="AB89" s="4" t="s">
        <v>118</v>
      </c>
      <c r="AC89" s="4">
        <v>69</v>
      </c>
      <c r="AD89" s="4" t="s">
        <v>109</v>
      </c>
      <c r="AE89" s="4">
        <v>1.2</v>
      </c>
      <c r="AF89" s="4" t="s">
        <v>3346</v>
      </c>
      <c r="AG89" s="5" t="s">
        <v>3347</v>
      </c>
      <c r="AH89" s="5" t="s">
        <v>3348</v>
      </c>
      <c r="AI89" s="4">
        <v>1</v>
      </c>
      <c r="AJ89" s="4" t="s">
        <v>3349</v>
      </c>
      <c r="AK89" s="4" t="s">
        <v>121</v>
      </c>
      <c r="AL89" s="4" t="s">
        <v>3053</v>
      </c>
      <c r="AM89" s="69" t="s">
        <v>109</v>
      </c>
      <c r="AN89" s="4" t="s">
        <v>122</v>
      </c>
      <c r="AO89" s="4">
        <v>2012</v>
      </c>
      <c r="AP89" s="217">
        <v>2012</v>
      </c>
      <c r="AQ89" s="4" t="b">
        <v>0</v>
      </c>
      <c r="AR89" s="4">
        <v>2012</v>
      </c>
      <c r="AS89" s="4" t="s">
        <v>109</v>
      </c>
      <c r="AT89" s="4" t="s">
        <v>795</v>
      </c>
      <c r="AU89" s="4" t="b">
        <v>0</v>
      </c>
      <c r="AV89" s="4" t="s">
        <v>796</v>
      </c>
      <c r="AW89" s="69">
        <v>42923</v>
      </c>
      <c r="AY89" s="4" t="s">
        <v>491</v>
      </c>
      <c r="AZ89" s="4" t="s">
        <v>216</v>
      </c>
      <c r="BA89" s="4" t="s">
        <v>226</v>
      </c>
      <c r="BB89" s="4" t="s">
        <v>767</v>
      </c>
      <c r="BC89" s="4" t="s">
        <v>492</v>
      </c>
      <c r="BD89" s="4">
        <v>42485</v>
      </c>
      <c r="BE89" s="4" t="s">
        <v>494</v>
      </c>
      <c r="BF89" s="4">
        <v>2018</v>
      </c>
      <c r="BG89" s="4" t="s">
        <v>699</v>
      </c>
      <c r="BH89" s="4" t="s">
        <v>109</v>
      </c>
      <c r="BI89" s="69">
        <v>46133</v>
      </c>
      <c r="BJ89" s="69" t="s">
        <v>109</v>
      </c>
      <c r="BK89" s="69">
        <v>46778</v>
      </c>
      <c r="BL89" s="97" t="s">
        <v>326</v>
      </c>
      <c r="BM89" s="4" t="s">
        <v>699</v>
      </c>
      <c r="BN89" s="97" t="b">
        <v>0</v>
      </c>
      <c r="BO89" s="130">
        <v>44272.579160000001</v>
      </c>
      <c r="BP89" s="4" t="s">
        <v>128</v>
      </c>
      <c r="CF89" s="4" t="s">
        <v>2264</v>
      </c>
      <c r="CS89" s="144"/>
      <c r="CU89" s="216" t="s">
        <v>3187</v>
      </c>
      <c r="CW89" s="4" t="s">
        <v>3350</v>
      </c>
      <c r="CX89" s="39"/>
    </row>
    <row r="90" spans="1:102" x14ac:dyDescent="0.3">
      <c r="A90" s="2">
        <v>92</v>
      </c>
      <c r="B90" s="43" t="s">
        <v>800</v>
      </c>
      <c r="C90" s="51">
        <v>33.261389000000001</v>
      </c>
      <c r="D90" s="51">
        <v>-117.334186</v>
      </c>
      <c r="E90" s="2" t="s">
        <v>801</v>
      </c>
      <c r="F90" s="47" t="s">
        <v>3351</v>
      </c>
      <c r="G90" s="2" t="s">
        <v>661</v>
      </c>
      <c r="H90" s="2" t="s">
        <v>146</v>
      </c>
      <c r="I90" s="2" t="s">
        <v>113</v>
      </c>
      <c r="J90" s="2" t="s">
        <v>109</v>
      </c>
      <c r="K90" s="2" t="s">
        <v>662</v>
      </c>
      <c r="L90" s="2" t="s">
        <v>663</v>
      </c>
      <c r="M90" s="2" t="s">
        <v>109</v>
      </c>
      <c r="N90" s="2" t="s">
        <v>109</v>
      </c>
      <c r="O90" s="68">
        <v>45498</v>
      </c>
      <c r="Q90" s="2">
        <v>62</v>
      </c>
      <c r="R90" s="2" t="s">
        <v>109</v>
      </c>
      <c r="S90" s="2" t="s">
        <v>109</v>
      </c>
      <c r="T90" s="2" t="s">
        <v>109</v>
      </c>
      <c r="U90" s="2" t="s">
        <v>404</v>
      </c>
      <c r="V90" s="2" t="s">
        <v>3201</v>
      </c>
      <c r="W90" s="2" t="b">
        <v>0</v>
      </c>
      <c r="X90" s="2" t="s">
        <v>109</v>
      </c>
      <c r="Y90" s="2" t="s">
        <v>672</v>
      </c>
      <c r="AA90" s="51">
        <v>7.5057679999999998</v>
      </c>
      <c r="AB90" s="2" t="s">
        <v>118</v>
      </c>
      <c r="AC90" s="2">
        <v>69</v>
      </c>
      <c r="AD90" s="2" t="s">
        <v>109</v>
      </c>
      <c r="AE90" s="2">
        <v>1.2</v>
      </c>
      <c r="AF90" s="2" t="s">
        <v>3352</v>
      </c>
      <c r="AG90" s="3" t="s">
        <v>3353</v>
      </c>
      <c r="AH90" s="3" t="s">
        <v>3354</v>
      </c>
      <c r="AI90" s="2">
        <v>1</v>
      </c>
      <c r="AJ90" s="2" t="s">
        <v>3355</v>
      </c>
      <c r="AK90" s="2" t="s">
        <v>121</v>
      </c>
      <c r="AL90" s="2" t="s">
        <v>3027</v>
      </c>
      <c r="AM90" s="68">
        <v>43672</v>
      </c>
      <c r="AN90" s="2" t="s">
        <v>122</v>
      </c>
      <c r="AO90" s="2">
        <v>2012</v>
      </c>
      <c r="AP90" s="109" t="s">
        <v>109</v>
      </c>
      <c r="AQ90" s="2" t="b">
        <v>0</v>
      </c>
      <c r="AR90" s="2" t="s">
        <v>109</v>
      </c>
      <c r="AS90" s="2" t="s">
        <v>109</v>
      </c>
      <c r="AT90" s="2" t="s">
        <v>118</v>
      </c>
      <c r="AU90" s="2" t="b">
        <v>0</v>
      </c>
      <c r="AV90" s="2" t="s">
        <v>109</v>
      </c>
      <c r="AW90" s="68">
        <v>43070</v>
      </c>
      <c r="AY90" s="2" t="s">
        <v>124</v>
      </c>
      <c r="AZ90" s="2" t="s">
        <v>539</v>
      </c>
      <c r="BA90" s="2" t="s">
        <v>226</v>
      </c>
      <c r="BB90" s="2" t="s">
        <v>767</v>
      </c>
      <c r="BC90" s="2" t="s">
        <v>135</v>
      </c>
      <c r="BD90" s="2" t="s">
        <v>109</v>
      </c>
      <c r="BE90" s="2" t="s">
        <v>494</v>
      </c>
      <c r="BF90" s="2">
        <v>2019</v>
      </c>
      <c r="BG90" s="2" t="s">
        <v>126</v>
      </c>
      <c r="BH90" s="2" t="s">
        <v>109</v>
      </c>
      <c r="BI90" s="110">
        <v>43857</v>
      </c>
      <c r="BJ90" s="68">
        <v>44078</v>
      </c>
      <c r="BK90" s="110">
        <v>44078</v>
      </c>
      <c r="BL90" s="98" t="s">
        <v>109</v>
      </c>
      <c r="BM90" s="2" t="s">
        <v>109</v>
      </c>
      <c r="BN90" s="98" t="b">
        <v>0</v>
      </c>
      <c r="BO90" s="85">
        <v>23135.859570000001</v>
      </c>
      <c r="BP90" s="2" t="s">
        <v>128</v>
      </c>
      <c r="CF90" s="2" t="s">
        <v>807</v>
      </c>
      <c r="CS90" s="145"/>
      <c r="CU90" s="132" t="s">
        <v>3187</v>
      </c>
      <c r="CW90" s="2" t="s">
        <v>3356</v>
      </c>
      <c r="CX90" s="38"/>
    </row>
    <row r="91" spans="1:102" x14ac:dyDescent="0.3">
      <c r="A91" s="4">
        <v>93</v>
      </c>
      <c r="B91" s="44" t="s">
        <v>809</v>
      </c>
      <c r="C91" s="53">
        <v>32.812645000000003</v>
      </c>
      <c r="D91" s="53">
        <v>-117.115554</v>
      </c>
      <c r="E91" s="4" t="s">
        <v>329</v>
      </c>
      <c r="F91" s="46" t="s">
        <v>810</v>
      </c>
      <c r="G91" s="4" t="s">
        <v>811</v>
      </c>
      <c r="H91" s="4" t="s">
        <v>113</v>
      </c>
      <c r="I91" s="4" t="s">
        <v>109</v>
      </c>
      <c r="J91" s="4" t="s">
        <v>109</v>
      </c>
      <c r="K91" s="4" t="s">
        <v>704</v>
      </c>
      <c r="L91" s="4" t="s">
        <v>812</v>
      </c>
      <c r="M91" s="4" t="s">
        <v>505</v>
      </c>
      <c r="N91" s="4" t="s">
        <v>109</v>
      </c>
      <c r="O91" s="69">
        <v>45363</v>
      </c>
      <c r="Q91" s="6" t="s">
        <v>813</v>
      </c>
      <c r="R91" s="4" t="s">
        <v>508</v>
      </c>
      <c r="S91" s="4" t="s">
        <v>509</v>
      </c>
      <c r="T91" s="4" t="s">
        <v>109</v>
      </c>
      <c r="U91" s="4" t="s">
        <v>116</v>
      </c>
      <c r="V91" s="4" t="s">
        <v>3022</v>
      </c>
      <c r="W91" s="4" t="b">
        <v>0</v>
      </c>
      <c r="X91" s="4" t="s">
        <v>109</v>
      </c>
      <c r="Y91" s="4" t="s">
        <v>808</v>
      </c>
      <c r="AA91" s="53">
        <v>6.5901639999999997</v>
      </c>
      <c r="AB91" s="4" t="s">
        <v>118</v>
      </c>
      <c r="AC91" s="4">
        <v>69</v>
      </c>
      <c r="AD91" s="4" t="s">
        <v>109</v>
      </c>
      <c r="AE91" s="4">
        <v>2.1</v>
      </c>
      <c r="AF91" s="4" t="s">
        <v>3357</v>
      </c>
      <c r="AG91" s="5" t="s">
        <v>3358</v>
      </c>
      <c r="AH91" s="5" t="s">
        <v>3359</v>
      </c>
      <c r="AI91" s="4">
        <v>1</v>
      </c>
      <c r="AJ91" s="4" t="s">
        <v>3360</v>
      </c>
      <c r="AK91" s="4" t="s">
        <v>121</v>
      </c>
      <c r="AL91" s="4" t="s">
        <v>3053</v>
      </c>
      <c r="AM91" s="69" t="s">
        <v>109</v>
      </c>
      <c r="AN91" s="4" t="s">
        <v>122</v>
      </c>
      <c r="AO91" s="4">
        <v>2012</v>
      </c>
      <c r="AP91" s="217">
        <v>2011</v>
      </c>
      <c r="AQ91" s="4" t="b">
        <v>0</v>
      </c>
      <c r="AR91" s="4">
        <v>2011</v>
      </c>
      <c r="AS91" s="4" t="s">
        <v>109</v>
      </c>
      <c r="AT91" s="4" t="s">
        <v>514</v>
      </c>
      <c r="AU91" s="4" t="b">
        <v>0</v>
      </c>
      <c r="AV91" s="4" t="s">
        <v>109</v>
      </c>
      <c r="AW91" s="4" t="s">
        <v>118</v>
      </c>
      <c r="AY91" s="4" t="s">
        <v>124</v>
      </c>
      <c r="AZ91" s="4" t="s">
        <v>109</v>
      </c>
      <c r="BA91" s="4" t="s">
        <v>118</v>
      </c>
      <c r="BB91" s="4" t="s">
        <v>118</v>
      </c>
      <c r="BC91" s="4" t="s">
        <v>666</v>
      </c>
      <c r="BD91" s="4">
        <v>42886</v>
      </c>
      <c r="BE91" s="4" t="s">
        <v>494</v>
      </c>
      <c r="BF91" s="4">
        <v>2017</v>
      </c>
      <c r="BG91" s="4" t="s">
        <v>126</v>
      </c>
      <c r="BH91" s="4" t="s">
        <v>109</v>
      </c>
      <c r="BI91" s="69">
        <v>43082</v>
      </c>
      <c r="BJ91" s="69">
        <v>42156</v>
      </c>
      <c r="BK91" s="69">
        <v>43887</v>
      </c>
      <c r="BL91" s="97" t="s">
        <v>819</v>
      </c>
      <c r="BM91" s="4" t="s">
        <v>699</v>
      </c>
      <c r="BN91" s="4" t="b">
        <v>1</v>
      </c>
      <c r="BO91" s="130">
        <v>8171.0385100000003</v>
      </c>
      <c r="BP91" s="4" t="s">
        <v>128</v>
      </c>
      <c r="CF91" s="4" t="s">
        <v>528</v>
      </c>
      <c r="CS91" s="143"/>
      <c r="CU91" s="216" t="s">
        <v>3187</v>
      </c>
      <c r="CW91" s="4" t="s">
        <v>3361</v>
      </c>
      <c r="CX91" s="39"/>
    </row>
    <row r="92" spans="1:102" x14ac:dyDescent="0.3">
      <c r="A92" s="2">
        <v>95</v>
      </c>
      <c r="B92" s="43" t="s">
        <v>821</v>
      </c>
      <c r="C92" s="51">
        <v>32.644677999999999</v>
      </c>
      <c r="D92" s="51">
        <v>-117.088487</v>
      </c>
      <c r="E92" s="2" t="s">
        <v>822</v>
      </c>
      <c r="F92" s="47" t="s">
        <v>823</v>
      </c>
      <c r="G92" s="2" t="s">
        <v>811</v>
      </c>
      <c r="H92" s="2" t="s">
        <v>113</v>
      </c>
      <c r="I92" s="2" t="s">
        <v>109</v>
      </c>
      <c r="J92" s="2" t="s">
        <v>109</v>
      </c>
      <c r="K92" s="2" t="s">
        <v>192</v>
      </c>
      <c r="L92" s="2" t="s">
        <v>812</v>
      </c>
      <c r="M92" s="2" t="s">
        <v>505</v>
      </c>
      <c r="N92" s="2" t="s">
        <v>109</v>
      </c>
      <c r="O92" s="68">
        <v>45344</v>
      </c>
      <c r="Q92" s="7" t="s">
        <v>824</v>
      </c>
      <c r="R92" s="2" t="s">
        <v>508</v>
      </c>
      <c r="S92" s="2" t="s">
        <v>509</v>
      </c>
      <c r="T92" s="2" t="s">
        <v>109</v>
      </c>
      <c r="U92" s="2" t="s">
        <v>116</v>
      </c>
      <c r="V92" s="2" t="s">
        <v>3022</v>
      </c>
      <c r="W92" s="2" t="b">
        <v>0</v>
      </c>
      <c r="X92" s="2" t="s">
        <v>487</v>
      </c>
      <c r="Y92" s="2" t="s">
        <v>820</v>
      </c>
      <c r="AA92" s="51">
        <v>1</v>
      </c>
      <c r="AB92" s="2" t="s">
        <v>118</v>
      </c>
      <c r="AC92" s="2">
        <v>69</v>
      </c>
      <c r="AD92" s="2" t="s">
        <v>109</v>
      </c>
      <c r="AE92" s="2">
        <v>2.1</v>
      </c>
      <c r="AF92" s="2" t="s">
        <v>3362</v>
      </c>
      <c r="AG92" s="3" t="s">
        <v>3363</v>
      </c>
      <c r="AH92" s="3" t="s">
        <v>3364</v>
      </c>
      <c r="AI92" s="2">
        <v>1</v>
      </c>
      <c r="AJ92" s="2" t="s">
        <v>3365</v>
      </c>
      <c r="AK92" s="2" t="s">
        <v>121</v>
      </c>
      <c r="AL92" s="2" t="s">
        <v>3053</v>
      </c>
      <c r="AM92" s="68" t="s">
        <v>109</v>
      </c>
      <c r="AN92" s="2" t="s">
        <v>122</v>
      </c>
      <c r="AO92" s="2">
        <v>2012</v>
      </c>
      <c r="AP92" s="109">
        <v>2011</v>
      </c>
      <c r="AQ92" s="2" t="b">
        <v>0</v>
      </c>
      <c r="AR92" s="2">
        <v>2011</v>
      </c>
      <c r="AS92" s="2" t="s">
        <v>109</v>
      </c>
      <c r="AT92" s="2" t="s">
        <v>514</v>
      </c>
      <c r="AU92" s="2" t="b">
        <v>0</v>
      </c>
      <c r="AV92" s="2" t="s">
        <v>109</v>
      </c>
      <c r="AW92" s="2" t="s">
        <v>109</v>
      </c>
      <c r="AY92" s="2" t="s">
        <v>109</v>
      </c>
      <c r="AZ92" s="2" t="s">
        <v>109</v>
      </c>
      <c r="BA92" s="2" t="s">
        <v>109</v>
      </c>
      <c r="BB92" s="2" t="s">
        <v>109</v>
      </c>
      <c r="BC92" s="2" t="s">
        <v>135</v>
      </c>
      <c r="BD92" s="2" t="s">
        <v>109</v>
      </c>
      <c r="BE92" s="2" t="s">
        <v>494</v>
      </c>
      <c r="BF92" s="2">
        <v>2019</v>
      </c>
      <c r="BG92" s="2" t="s">
        <v>126</v>
      </c>
      <c r="BH92" s="2" t="s">
        <v>109</v>
      </c>
      <c r="BI92" s="68">
        <v>44536</v>
      </c>
      <c r="BJ92" s="68">
        <v>41426</v>
      </c>
      <c r="BK92" s="68">
        <v>44696</v>
      </c>
      <c r="BL92" s="98" t="s">
        <v>699</v>
      </c>
      <c r="BM92" s="2" t="s">
        <v>459</v>
      </c>
      <c r="BN92" s="2" t="b">
        <v>1</v>
      </c>
      <c r="BO92" s="85">
        <v>9464.4570000000003</v>
      </c>
      <c r="BP92" s="2" t="s">
        <v>128</v>
      </c>
      <c r="CF92" s="2" t="s">
        <v>270</v>
      </c>
      <c r="CS92" s="145"/>
      <c r="CU92" s="132" t="s">
        <v>3187</v>
      </c>
      <c r="CW92" s="2" t="s">
        <v>3366</v>
      </c>
      <c r="CX92" s="38"/>
    </row>
    <row r="93" spans="1:102" x14ac:dyDescent="0.3">
      <c r="A93" s="4">
        <v>96</v>
      </c>
      <c r="B93" s="44" t="s">
        <v>830</v>
      </c>
      <c r="C93" s="57" t="s">
        <v>109</v>
      </c>
      <c r="D93" s="4" t="s">
        <v>109</v>
      </c>
      <c r="E93" s="6" t="s">
        <v>109</v>
      </c>
      <c r="F93" s="46" t="s">
        <v>3367</v>
      </c>
      <c r="G93" s="4" t="s">
        <v>111</v>
      </c>
      <c r="H93" s="4" t="s">
        <v>113</v>
      </c>
      <c r="I93" s="4" t="s">
        <v>109</v>
      </c>
      <c r="J93" s="4" t="s">
        <v>109</v>
      </c>
      <c r="K93" s="4" t="s">
        <v>114</v>
      </c>
      <c r="L93" s="4" t="s">
        <v>235</v>
      </c>
      <c r="M93" s="4" t="s">
        <v>109</v>
      </c>
      <c r="N93" s="4" t="s">
        <v>109</v>
      </c>
      <c r="O93" s="4" t="s">
        <v>109</v>
      </c>
      <c r="Q93" s="4" t="s">
        <v>109</v>
      </c>
      <c r="R93" s="4" t="s">
        <v>109</v>
      </c>
      <c r="S93" s="4" t="s">
        <v>109</v>
      </c>
      <c r="T93" s="4" t="s">
        <v>109</v>
      </c>
      <c r="U93" s="4" t="s">
        <v>116</v>
      </c>
      <c r="V93" s="4" t="s">
        <v>3022</v>
      </c>
      <c r="W93" s="4" t="b">
        <v>0</v>
      </c>
      <c r="X93" s="4" t="s">
        <v>109</v>
      </c>
      <c r="Y93" s="4" t="s">
        <v>429</v>
      </c>
      <c r="AA93" s="4" t="s">
        <v>118</v>
      </c>
      <c r="AB93" s="4" t="s">
        <v>118</v>
      </c>
      <c r="AC93" s="4" t="s">
        <v>119</v>
      </c>
      <c r="AD93" s="4" t="s">
        <v>434</v>
      </c>
      <c r="AE93" s="4">
        <v>4.3</v>
      </c>
      <c r="AF93" s="4" t="s">
        <v>3023</v>
      </c>
      <c r="AG93" s="5" t="s">
        <v>3368</v>
      </c>
      <c r="AH93" s="5" t="s">
        <v>3025</v>
      </c>
      <c r="AI93" s="4">
        <v>5</v>
      </c>
      <c r="AJ93" s="4" t="s">
        <v>3369</v>
      </c>
      <c r="AK93" s="4" t="s">
        <v>121</v>
      </c>
      <c r="AL93" s="4" t="s">
        <v>3027</v>
      </c>
      <c r="AM93" s="69">
        <v>44839</v>
      </c>
      <c r="AN93" s="4" t="s">
        <v>122</v>
      </c>
      <c r="AO93" s="4" t="s">
        <v>109</v>
      </c>
      <c r="AP93" s="217" t="s">
        <v>109</v>
      </c>
      <c r="AQ93" s="4" t="b">
        <v>0</v>
      </c>
      <c r="AR93" s="4" t="s">
        <v>109</v>
      </c>
      <c r="AS93" s="4" t="s">
        <v>109</v>
      </c>
      <c r="AT93" s="4" t="s">
        <v>118</v>
      </c>
      <c r="AU93" s="4" t="b">
        <v>0</v>
      </c>
      <c r="AV93" s="4" t="s">
        <v>109</v>
      </c>
      <c r="AW93" s="4" t="s">
        <v>118</v>
      </c>
      <c r="AY93" s="125" t="s">
        <v>109</v>
      </c>
      <c r="AZ93" s="4" t="s">
        <v>109</v>
      </c>
      <c r="BA93" s="4" t="s">
        <v>118</v>
      </c>
      <c r="BB93" s="4" t="s">
        <v>118</v>
      </c>
      <c r="BC93" s="4" t="s">
        <v>135</v>
      </c>
      <c r="BD93" s="69" t="s">
        <v>109</v>
      </c>
      <c r="BE93" s="6" t="s">
        <v>109</v>
      </c>
      <c r="BF93" s="4" t="s">
        <v>109</v>
      </c>
      <c r="BG93" s="4" t="s">
        <v>126</v>
      </c>
      <c r="BH93" s="4" t="s">
        <v>109</v>
      </c>
      <c r="BI93" s="69" t="s">
        <v>109</v>
      </c>
      <c r="BJ93" s="69">
        <v>44926</v>
      </c>
      <c r="BK93" s="69" t="s">
        <v>109</v>
      </c>
      <c r="BL93" s="97" t="s">
        <v>109</v>
      </c>
      <c r="BM93" s="4" t="s">
        <v>109</v>
      </c>
      <c r="BN93" s="97" t="b">
        <v>0</v>
      </c>
      <c r="BO93" s="130" t="s">
        <v>118</v>
      </c>
      <c r="BP93" s="4" t="s">
        <v>128</v>
      </c>
      <c r="CF93" s="4" t="s">
        <v>834</v>
      </c>
      <c r="CS93" s="144"/>
      <c r="CU93" s="216" t="s">
        <v>3060</v>
      </c>
      <c r="CW93" s="4" t="s">
        <v>3029</v>
      </c>
      <c r="CX93" s="39"/>
    </row>
    <row r="94" spans="1:102" x14ac:dyDescent="0.3">
      <c r="A94" s="2">
        <v>97</v>
      </c>
      <c r="B94" s="43" t="s">
        <v>835</v>
      </c>
      <c r="C94" s="52" t="s">
        <v>109</v>
      </c>
      <c r="D94" s="2" t="s">
        <v>109</v>
      </c>
      <c r="E94" s="2" t="s">
        <v>191</v>
      </c>
      <c r="F94" s="47" t="s">
        <v>836</v>
      </c>
      <c r="G94" s="67" t="s">
        <v>133</v>
      </c>
      <c r="H94" s="2" t="s">
        <v>113</v>
      </c>
      <c r="I94" s="2" t="s">
        <v>109</v>
      </c>
      <c r="J94" s="2" t="s">
        <v>109</v>
      </c>
      <c r="K94" s="2" t="s">
        <v>114</v>
      </c>
      <c r="L94" s="2" t="s">
        <v>432</v>
      </c>
      <c r="M94" s="2" t="s">
        <v>109</v>
      </c>
      <c r="N94" s="2" t="s">
        <v>109</v>
      </c>
      <c r="O94" s="2" t="s">
        <v>109</v>
      </c>
      <c r="Q94" s="2" t="s">
        <v>109</v>
      </c>
      <c r="R94" s="2" t="s">
        <v>109</v>
      </c>
      <c r="S94" s="2" t="s">
        <v>109</v>
      </c>
      <c r="T94" s="2" t="s">
        <v>109</v>
      </c>
      <c r="U94" s="2" t="s">
        <v>116</v>
      </c>
      <c r="V94" s="2" t="s">
        <v>3022</v>
      </c>
      <c r="W94" s="2" t="b">
        <v>0</v>
      </c>
      <c r="X94" s="2" t="s">
        <v>109</v>
      </c>
      <c r="Y94" s="2" t="s">
        <v>429</v>
      </c>
      <c r="AA94" s="2" t="s">
        <v>109</v>
      </c>
      <c r="AB94" s="2" t="s">
        <v>118</v>
      </c>
      <c r="AC94" s="2" t="s">
        <v>452</v>
      </c>
      <c r="AD94" s="2" t="s">
        <v>109</v>
      </c>
      <c r="AE94" s="2">
        <v>4.3</v>
      </c>
      <c r="AF94" s="2" t="s">
        <v>3030</v>
      </c>
      <c r="AG94" s="3" t="s">
        <v>3368</v>
      </c>
      <c r="AH94" s="3" t="s">
        <v>3370</v>
      </c>
      <c r="AI94" s="2">
        <v>1</v>
      </c>
      <c r="AJ94" s="2" t="s">
        <v>3369</v>
      </c>
      <c r="AK94" s="2" t="s">
        <v>121</v>
      </c>
      <c r="AL94" s="2" t="s">
        <v>3027</v>
      </c>
      <c r="AM94" s="68">
        <v>43570</v>
      </c>
      <c r="AN94" s="2" t="s">
        <v>122</v>
      </c>
      <c r="AO94" s="2" t="s">
        <v>109</v>
      </c>
      <c r="AP94" s="109" t="s">
        <v>109</v>
      </c>
      <c r="AQ94" s="2" t="b">
        <v>0</v>
      </c>
      <c r="AR94" s="2" t="s">
        <v>109</v>
      </c>
      <c r="AS94" s="2" t="s">
        <v>109</v>
      </c>
      <c r="AT94" s="2" t="s">
        <v>109</v>
      </c>
      <c r="AU94" s="2" t="b">
        <v>0</v>
      </c>
      <c r="AV94" s="2" t="s">
        <v>109</v>
      </c>
      <c r="AW94" s="2" t="s">
        <v>109</v>
      </c>
      <c r="AY94" s="2" t="s">
        <v>109</v>
      </c>
      <c r="AZ94" s="2" t="s">
        <v>109</v>
      </c>
      <c r="BA94" s="2" t="s">
        <v>109</v>
      </c>
      <c r="BB94" s="2" t="s">
        <v>109</v>
      </c>
      <c r="BC94" s="2" t="s">
        <v>135</v>
      </c>
      <c r="BD94" s="68" t="s">
        <v>109</v>
      </c>
      <c r="BE94" s="7" t="s">
        <v>109</v>
      </c>
      <c r="BF94" s="2" t="s">
        <v>109</v>
      </c>
      <c r="BG94" s="2" t="s">
        <v>126</v>
      </c>
      <c r="BH94" s="2" t="s">
        <v>109</v>
      </c>
      <c r="BI94" s="76" t="s">
        <v>109</v>
      </c>
      <c r="BJ94" s="68">
        <v>43830</v>
      </c>
      <c r="BK94" s="55" t="s">
        <v>109</v>
      </c>
      <c r="BL94" s="98" t="s">
        <v>109</v>
      </c>
      <c r="BM94" s="2" t="s">
        <v>109</v>
      </c>
      <c r="BN94" s="98" t="b">
        <v>0</v>
      </c>
      <c r="BO94" s="85" t="s">
        <v>118</v>
      </c>
      <c r="BP94" s="2" t="s">
        <v>128</v>
      </c>
      <c r="CF94" s="2" t="s">
        <v>3106</v>
      </c>
      <c r="CS94" s="142"/>
      <c r="CU94" s="132" t="s">
        <v>3060</v>
      </c>
      <c r="CW94" s="2" t="s">
        <v>3029</v>
      </c>
      <c r="CX94" s="38"/>
    </row>
    <row r="95" spans="1:102" x14ac:dyDescent="0.3">
      <c r="A95" s="4">
        <v>98</v>
      </c>
      <c r="B95" s="44" t="s">
        <v>837</v>
      </c>
      <c r="C95" s="57" t="s">
        <v>109</v>
      </c>
      <c r="D95" s="4" t="s">
        <v>109</v>
      </c>
      <c r="E95" s="6" t="s">
        <v>109</v>
      </c>
      <c r="F95" s="46" t="s">
        <v>838</v>
      </c>
      <c r="G95" s="4" t="s">
        <v>111</v>
      </c>
      <c r="H95" s="4" t="s">
        <v>113</v>
      </c>
      <c r="I95" s="4" t="s">
        <v>109</v>
      </c>
      <c r="J95" s="4" t="s">
        <v>109</v>
      </c>
      <c r="K95" s="4" t="s">
        <v>114</v>
      </c>
      <c r="L95" s="4" t="s">
        <v>839</v>
      </c>
      <c r="M95" s="4" t="s">
        <v>840</v>
      </c>
      <c r="N95" s="4" t="s">
        <v>109</v>
      </c>
      <c r="O95" s="4" t="s">
        <v>109</v>
      </c>
      <c r="Q95" s="4" t="s">
        <v>109</v>
      </c>
      <c r="R95" s="4" t="s">
        <v>109</v>
      </c>
      <c r="S95" s="4" t="s">
        <v>109</v>
      </c>
      <c r="T95" s="4" t="s">
        <v>109</v>
      </c>
      <c r="U95" s="4" t="s">
        <v>116</v>
      </c>
      <c r="V95" s="4" t="s">
        <v>3022</v>
      </c>
      <c r="W95" s="4" t="b">
        <v>0</v>
      </c>
      <c r="X95" s="4" t="s">
        <v>109</v>
      </c>
      <c r="Y95" s="4" t="s">
        <v>429</v>
      </c>
      <c r="AA95" s="4" t="s">
        <v>118</v>
      </c>
      <c r="AB95" s="4" t="s">
        <v>118</v>
      </c>
      <c r="AC95" s="4" t="s">
        <v>119</v>
      </c>
      <c r="AD95" s="4" t="s">
        <v>434</v>
      </c>
      <c r="AE95" s="4">
        <v>4.3</v>
      </c>
      <c r="AF95" s="4" t="s">
        <v>3023</v>
      </c>
      <c r="AG95" s="5" t="s">
        <v>3371</v>
      </c>
      <c r="AH95" s="5" t="s">
        <v>3025</v>
      </c>
      <c r="AI95" s="4">
        <v>32</v>
      </c>
      <c r="AJ95" s="4" t="s">
        <v>3372</v>
      </c>
      <c r="AK95" s="4" t="s">
        <v>121</v>
      </c>
      <c r="AL95" s="4" t="s">
        <v>3027</v>
      </c>
      <c r="AM95" s="69">
        <v>45252</v>
      </c>
      <c r="AN95" s="4" t="s">
        <v>122</v>
      </c>
      <c r="AO95" s="4" t="s">
        <v>109</v>
      </c>
      <c r="AP95" s="217" t="s">
        <v>109</v>
      </c>
      <c r="AQ95" s="4" t="b">
        <v>0</v>
      </c>
      <c r="AR95" s="4" t="s">
        <v>109</v>
      </c>
      <c r="AS95" s="4" t="s">
        <v>109</v>
      </c>
      <c r="AT95" s="4" t="s">
        <v>118</v>
      </c>
      <c r="AU95" s="4" t="b">
        <v>0</v>
      </c>
      <c r="AV95" s="4" t="s">
        <v>109</v>
      </c>
      <c r="AW95" s="4" t="s">
        <v>118</v>
      </c>
      <c r="AY95" s="4" t="s">
        <v>109</v>
      </c>
      <c r="AZ95" s="4" t="s">
        <v>109</v>
      </c>
      <c r="BA95" s="4" t="s">
        <v>118</v>
      </c>
      <c r="BB95" s="4" t="s">
        <v>118</v>
      </c>
      <c r="BC95" s="4" t="s">
        <v>135</v>
      </c>
      <c r="BD95" s="69" t="s">
        <v>109</v>
      </c>
      <c r="BE95" s="6" t="s">
        <v>109</v>
      </c>
      <c r="BF95" s="4" t="s">
        <v>109</v>
      </c>
      <c r="BG95" s="4" t="s">
        <v>126</v>
      </c>
      <c r="BH95" s="4" t="s">
        <v>109</v>
      </c>
      <c r="BI95" s="69" t="s">
        <v>109</v>
      </c>
      <c r="BJ95" s="69">
        <v>45657</v>
      </c>
      <c r="BK95" s="69" t="s">
        <v>109</v>
      </c>
      <c r="BL95" s="97" t="s">
        <v>109</v>
      </c>
      <c r="BM95" s="4" t="s">
        <v>109</v>
      </c>
      <c r="BN95" s="4" t="b">
        <v>1</v>
      </c>
      <c r="BO95" s="130" t="s">
        <v>118</v>
      </c>
      <c r="BP95" s="4" t="s">
        <v>128</v>
      </c>
      <c r="CF95" s="4" t="s">
        <v>842</v>
      </c>
      <c r="CS95" s="144"/>
      <c r="CU95" s="216" t="s">
        <v>3060</v>
      </c>
      <c r="CW95" s="4" t="s">
        <v>3029</v>
      </c>
      <c r="CX95" s="39"/>
    </row>
    <row r="96" spans="1:102" x14ac:dyDescent="0.3">
      <c r="A96" s="2">
        <v>99</v>
      </c>
      <c r="B96" s="43" t="s">
        <v>843</v>
      </c>
      <c r="C96" s="51">
        <v>33.563299999999998</v>
      </c>
      <c r="D96" s="51">
        <v>-117.6733</v>
      </c>
      <c r="E96" s="2" t="s">
        <v>844</v>
      </c>
      <c r="F96" s="47" t="s">
        <v>845</v>
      </c>
      <c r="G96" s="67" t="s">
        <v>439</v>
      </c>
      <c r="H96" s="2" t="s">
        <v>113</v>
      </c>
      <c r="I96" s="2" t="s">
        <v>109</v>
      </c>
      <c r="J96" s="2" t="s">
        <v>109</v>
      </c>
      <c r="K96" s="2" t="s">
        <v>114</v>
      </c>
      <c r="L96" s="2" t="s">
        <v>432</v>
      </c>
      <c r="M96" s="2" t="s">
        <v>109</v>
      </c>
      <c r="N96" s="2" t="s">
        <v>109</v>
      </c>
      <c r="O96" s="68">
        <v>45586</v>
      </c>
      <c r="Q96" s="77">
        <v>3.7</v>
      </c>
      <c r="R96" s="2" t="s">
        <v>109</v>
      </c>
      <c r="S96" s="2" t="s">
        <v>109</v>
      </c>
      <c r="T96" s="2" t="s">
        <v>109</v>
      </c>
      <c r="U96" s="2" t="s">
        <v>116</v>
      </c>
      <c r="V96" s="2" t="s">
        <v>3022</v>
      </c>
      <c r="W96" s="2" t="b">
        <v>0</v>
      </c>
      <c r="X96" s="2" t="s">
        <v>109</v>
      </c>
      <c r="Y96" s="2" t="s">
        <v>429</v>
      </c>
      <c r="AA96" s="2" t="s">
        <v>109</v>
      </c>
      <c r="AB96" s="2">
        <v>1.92</v>
      </c>
      <c r="AC96" s="2">
        <v>69</v>
      </c>
      <c r="AD96" s="2" t="s">
        <v>109</v>
      </c>
      <c r="AE96" s="2">
        <v>4.3</v>
      </c>
      <c r="AF96" s="2" t="s">
        <v>3373</v>
      </c>
      <c r="AG96" s="3" t="s">
        <v>3371</v>
      </c>
      <c r="AH96" s="3" t="s">
        <v>3374</v>
      </c>
      <c r="AI96" s="2">
        <v>1</v>
      </c>
      <c r="AJ96" s="2" t="s">
        <v>3372</v>
      </c>
      <c r="AK96" s="2" t="s">
        <v>121</v>
      </c>
      <c r="AL96" s="2" t="s">
        <v>3027</v>
      </c>
      <c r="AM96" s="68">
        <v>44805</v>
      </c>
      <c r="AN96" s="2" t="s">
        <v>122</v>
      </c>
      <c r="AO96" s="2" t="s">
        <v>109</v>
      </c>
      <c r="AP96" s="109" t="s">
        <v>109</v>
      </c>
      <c r="AQ96" s="2" t="b">
        <v>0</v>
      </c>
      <c r="AR96" s="2" t="s">
        <v>109</v>
      </c>
      <c r="AS96" s="2" t="s">
        <v>109</v>
      </c>
      <c r="AT96" s="2" t="s">
        <v>109</v>
      </c>
      <c r="AU96" s="2" t="b">
        <v>0</v>
      </c>
      <c r="AV96" s="2" t="s">
        <v>109</v>
      </c>
      <c r="AW96" s="2" t="s">
        <v>118</v>
      </c>
      <c r="AY96" s="2" t="s">
        <v>109</v>
      </c>
      <c r="AZ96" s="2" t="s">
        <v>109</v>
      </c>
      <c r="BA96" s="2" t="s">
        <v>118</v>
      </c>
      <c r="BB96" s="2" t="s">
        <v>118</v>
      </c>
      <c r="BC96" s="2" t="s">
        <v>135</v>
      </c>
      <c r="BD96" s="68" t="s">
        <v>109</v>
      </c>
      <c r="BE96" s="7" t="s">
        <v>109</v>
      </c>
      <c r="BF96" s="2" t="s">
        <v>109</v>
      </c>
      <c r="BG96" s="2" t="s">
        <v>425</v>
      </c>
      <c r="BH96" s="2" t="s">
        <v>109</v>
      </c>
      <c r="BI96" s="76">
        <v>45866</v>
      </c>
      <c r="BJ96" s="68">
        <v>45290</v>
      </c>
      <c r="BK96" s="76">
        <v>46029</v>
      </c>
      <c r="BL96" s="98" t="s">
        <v>109</v>
      </c>
      <c r="BM96" s="2" t="s">
        <v>109</v>
      </c>
      <c r="BN96" s="7" t="b">
        <v>1</v>
      </c>
      <c r="BO96" s="85" t="s">
        <v>118</v>
      </c>
      <c r="BP96" s="2" t="s">
        <v>128</v>
      </c>
      <c r="CF96" s="2">
        <v>2025</v>
      </c>
      <c r="CS96" s="142"/>
      <c r="CU96" s="132" t="s">
        <v>3172</v>
      </c>
      <c r="CW96" s="2" t="s">
        <v>3375</v>
      </c>
      <c r="CX96" s="38"/>
    </row>
    <row r="97" spans="1:102" x14ac:dyDescent="0.3">
      <c r="A97" s="4">
        <v>100</v>
      </c>
      <c r="B97" s="44" t="s">
        <v>850</v>
      </c>
      <c r="C97" s="53">
        <v>32.994</v>
      </c>
      <c r="D97" s="53">
        <v>-117.0783</v>
      </c>
      <c r="E97" s="4" t="s">
        <v>329</v>
      </c>
      <c r="F97" s="46" t="s">
        <v>851</v>
      </c>
      <c r="G97" s="64" t="s">
        <v>439</v>
      </c>
      <c r="H97" s="4" t="s">
        <v>113</v>
      </c>
      <c r="I97" s="4" t="s">
        <v>109</v>
      </c>
      <c r="J97" s="4" t="s">
        <v>109</v>
      </c>
      <c r="K97" s="4" t="s">
        <v>114</v>
      </c>
      <c r="L97" s="4" t="s">
        <v>432</v>
      </c>
      <c r="M97" s="4" t="s">
        <v>109</v>
      </c>
      <c r="N97" s="4" t="s">
        <v>109</v>
      </c>
      <c r="O97" s="69">
        <v>45567</v>
      </c>
      <c r="Q97" s="72">
        <v>5.52</v>
      </c>
      <c r="R97" s="4" t="s">
        <v>109</v>
      </c>
      <c r="S97" s="4" t="s">
        <v>109</v>
      </c>
      <c r="T97" s="4" t="s">
        <v>109</v>
      </c>
      <c r="U97" s="4" t="s">
        <v>116</v>
      </c>
      <c r="V97" s="4" t="s">
        <v>3022</v>
      </c>
      <c r="W97" s="4" t="b">
        <v>0</v>
      </c>
      <c r="X97" s="4" t="s">
        <v>109</v>
      </c>
      <c r="Y97" s="4" t="s">
        <v>429</v>
      </c>
      <c r="AA97" s="4" t="s">
        <v>109</v>
      </c>
      <c r="AB97" s="4">
        <v>1.35</v>
      </c>
      <c r="AC97" s="4">
        <v>69</v>
      </c>
      <c r="AD97" s="4" t="s">
        <v>109</v>
      </c>
      <c r="AE97" s="4">
        <v>4.3</v>
      </c>
      <c r="AF97" s="4" t="s">
        <v>3376</v>
      </c>
      <c r="AG97" s="5" t="s">
        <v>3371</v>
      </c>
      <c r="AH97" s="5" t="s">
        <v>3377</v>
      </c>
      <c r="AI97" s="4">
        <v>1</v>
      </c>
      <c r="AJ97" s="4" t="s">
        <v>3372</v>
      </c>
      <c r="AK97" s="4" t="s">
        <v>121</v>
      </c>
      <c r="AL97" s="4" t="s">
        <v>3027</v>
      </c>
      <c r="AM97" s="69">
        <v>44454</v>
      </c>
      <c r="AN97" s="4" t="s">
        <v>122</v>
      </c>
      <c r="AO97" s="4" t="s">
        <v>109</v>
      </c>
      <c r="AP97" s="217" t="s">
        <v>109</v>
      </c>
      <c r="AQ97" s="4" t="b">
        <v>0</v>
      </c>
      <c r="AR97" s="4" t="s">
        <v>109</v>
      </c>
      <c r="AS97" s="4" t="s">
        <v>109</v>
      </c>
      <c r="AT97" s="4" t="s">
        <v>109</v>
      </c>
      <c r="AU97" s="4" t="b">
        <v>0</v>
      </c>
      <c r="AV97" s="4" t="s">
        <v>109</v>
      </c>
      <c r="AW97" s="4" t="s">
        <v>118</v>
      </c>
      <c r="AY97" s="4" t="s">
        <v>109</v>
      </c>
      <c r="AZ97" s="4" t="s">
        <v>109</v>
      </c>
      <c r="BA97" s="4" t="s">
        <v>118</v>
      </c>
      <c r="BB97" s="4" t="s">
        <v>118</v>
      </c>
      <c r="BC97" s="4" t="s">
        <v>135</v>
      </c>
      <c r="BD97" s="69" t="s">
        <v>109</v>
      </c>
      <c r="BE97" s="6" t="s">
        <v>109</v>
      </c>
      <c r="BF97" s="4" t="s">
        <v>109</v>
      </c>
      <c r="BG97" s="4" t="s">
        <v>397</v>
      </c>
      <c r="BH97" s="4" t="s">
        <v>109</v>
      </c>
      <c r="BI97" s="75">
        <v>45777</v>
      </c>
      <c r="BJ97" s="69">
        <v>45291</v>
      </c>
      <c r="BK97" s="75">
        <v>46183</v>
      </c>
      <c r="BL97" s="97" t="s">
        <v>109</v>
      </c>
      <c r="BM97" s="4" t="s">
        <v>109</v>
      </c>
      <c r="BN97" s="6" t="b">
        <v>1</v>
      </c>
      <c r="BO97" s="130" t="s">
        <v>118</v>
      </c>
      <c r="BP97" s="4" t="s">
        <v>128</v>
      </c>
      <c r="CF97" s="4">
        <v>2025</v>
      </c>
      <c r="CS97" s="143"/>
      <c r="CU97" s="216" t="s">
        <v>3172</v>
      </c>
      <c r="CW97" s="4" t="s">
        <v>3378</v>
      </c>
      <c r="CX97" s="39"/>
    </row>
    <row r="98" spans="1:102" x14ac:dyDescent="0.3">
      <c r="A98" s="2">
        <v>101</v>
      </c>
      <c r="B98" s="43" t="s">
        <v>855</v>
      </c>
      <c r="C98" s="51">
        <v>33.125999999999998</v>
      </c>
      <c r="D98" s="51">
        <v>-117.117</v>
      </c>
      <c r="E98" s="2" t="s">
        <v>749</v>
      </c>
      <c r="F98" s="47" t="s">
        <v>856</v>
      </c>
      <c r="G98" s="67" t="s">
        <v>439</v>
      </c>
      <c r="H98" s="2" t="s">
        <v>113</v>
      </c>
      <c r="I98" s="2" t="s">
        <v>109</v>
      </c>
      <c r="J98" s="2" t="s">
        <v>109</v>
      </c>
      <c r="K98" s="2" t="s">
        <v>114</v>
      </c>
      <c r="L98" s="2" t="s">
        <v>432</v>
      </c>
      <c r="M98" s="2" t="s">
        <v>109</v>
      </c>
      <c r="N98" s="2" t="s">
        <v>109</v>
      </c>
      <c r="O98" s="68">
        <v>45353</v>
      </c>
      <c r="Q98" s="77">
        <v>6</v>
      </c>
      <c r="R98" s="2" t="s">
        <v>109</v>
      </c>
      <c r="S98" s="2" t="s">
        <v>109</v>
      </c>
      <c r="T98" s="2" t="s">
        <v>109</v>
      </c>
      <c r="U98" s="2" t="s">
        <v>116</v>
      </c>
      <c r="V98" s="2" t="s">
        <v>3022</v>
      </c>
      <c r="W98" s="2" t="b">
        <v>0</v>
      </c>
      <c r="X98" s="2" t="s">
        <v>109</v>
      </c>
      <c r="Y98" s="2" t="s">
        <v>429</v>
      </c>
      <c r="AA98" s="2" t="s">
        <v>109</v>
      </c>
      <c r="AB98" s="2">
        <v>4.66</v>
      </c>
      <c r="AC98" s="2">
        <v>230</v>
      </c>
      <c r="AD98" s="2" t="s">
        <v>109</v>
      </c>
      <c r="AE98" s="2">
        <v>4.3</v>
      </c>
      <c r="AF98" s="2" t="s">
        <v>3379</v>
      </c>
      <c r="AG98" s="3" t="s">
        <v>3371</v>
      </c>
      <c r="AH98" s="3" t="s">
        <v>3380</v>
      </c>
      <c r="AI98" s="2">
        <v>1</v>
      </c>
      <c r="AJ98" s="2" t="s">
        <v>3372</v>
      </c>
      <c r="AK98" s="2" t="s">
        <v>121</v>
      </c>
      <c r="AL98" s="2" t="s">
        <v>3027</v>
      </c>
      <c r="AM98" s="68">
        <v>45226</v>
      </c>
      <c r="AN98" s="2" t="s">
        <v>122</v>
      </c>
      <c r="AO98" s="2" t="s">
        <v>109</v>
      </c>
      <c r="AP98" s="109" t="s">
        <v>109</v>
      </c>
      <c r="AQ98" s="2" t="b">
        <v>0</v>
      </c>
      <c r="AR98" s="2" t="s">
        <v>109</v>
      </c>
      <c r="AS98" s="2" t="s">
        <v>109</v>
      </c>
      <c r="AT98" s="2" t="s">
        <v>109</v>
      </c>
      <c r="AU98" s="2" t="b">
        <v>0</v>
      </c>
      <c r="AV98" s="2" t="s">
        <v>109</v>
      </c>
      <c r="AW98" s="2" t="s">
        <v>118</v>
      </c>
      <c r="AY98" s="2" t="s">
        <v>109</v>
      </c>
      <c r="AZ98" s="2" t="s">
        <v>109</v>
      </c>
      <c r="BA98" s="2" t="s">
        <v>118</v>
      </c>
      <c r="BB98" s="2" t="s">
        <v>118</v>
      </c>
      <c r="BC98" s="2" t="s">
        <v>135</v>
      </c>
      <c r="BD98" s="68" t="s">
        <v>109</v>
      </c>
      <c r="BE98" s="7" t="s">
        <v>109</v>
      </c>
      <c r="BF98" s="2" t="s">
        <v>109</v>
      </c>
      <c r="BG98" s="2" t="s">
        <v>126</v>
      </c>
      <c r="BH98" s="2" t="s">
        <v>109</v>
      </c>
      <c r="BI98" s="76">
        <v>44958</v>
      </c>
      <c r="BJ98" s="68">
        <v>45291</v>
      </c>
      <c r="BK98" s="76">
        <v>45604</v>
      </c>
      <c r="BL98" s="98" t="s">
        <v>109</v>
      </c>
      <c r="BM98" s="2" t="s">
        <v>109</v>
      </c>
      <c r="BN98" s="2" t="b">
        <v>1</v>
      </c>
      <c r="BO98" s="85" t="s">
        <v>118</v>
      </c>
      <c r="BP98" s="2" t="s">
        <v>128</v>
      </c>
      <c r="CF98" s="2" t="s">
        <v>174</v>
      </c>
      <c r="CS98" s="142"/>
      <c r="CU98" s="132" t="s">
        <v>3187</v>
      </c>
      <c r="CW98" s="2" t="s">
        <v>3381</v>
      </c>
      <c r="CX98" s="38"/>
    </row>
    <row r="99" spans="1:102" x14ac:dyDescent="0.3">
      <c r="A99" s="4">
        <v>102</v>
      </c>
      <c r="B99" s="217" t="s">
        <v>3382</v>
      </c>
      <c r="C99" s="56"/>
      <c r="D99" s="4"/>
      <c r="E99" s="4"/>
      <c r="F99" s="46"/>
      <c r="G99" s="64"/>
      <c r="H99" s="64"/>
      <c r="I99" s="64"/>
      <c r="J99" s="64"/>
      <c r="K99" s="64"/>
      <c r="L99" s="64"/>
      <c r="M99" s="64"/>
      <c r="N99" s="64"/>
      <c r="O99" s="64"/>
      <c r="Q99" s="64"/>
      <c r="R99" s="64"/>
      <c r="S99" s="64"/>
      <c r="T99" s="64"/>
      <c r="U99" s="87"/>
      <c r="V99" s="4"/>
      <c r="W99" s="4"/>
      <c r="X99" s="4"/>
      <c r="Y99" s="4" t="s">
        <v>3324</v>
      </c>
      <c r="AA99" s="4"/>
      <c r="AB99" s="4"/>
      <c r="AC99" s="4"/>
      <c r="AD99" s="91"/>
      <c r="AE99" s="4"/>
      <c r="AF99" s="4" t="s">
        <v>3383</v>
      </c>
      <c r="AG99" s="5" t="s">
        <v>3371</v>
      </c>
      <c r="AH99" s="5" t="s">
        <v>3384</v>
      </c>
      <c r="AI99" s="4"/>
      <c r="AJ99" s="4" t="s">
        <v>3372</v>
      </c>
      <c r="AK99" s="4"/>
      <c r="AL99" s="4" t="s">
        <v>3053</v>
      </c>
      <c r="AM99" s="69"/>
      <c r="AN99" s="91"/>
      <c r="AO99" s="4"/>
      <c r="AP99" s="217"/>
      <c r="AQ99" s="4"/>
      <c r="AR99" s="4"/>
      <c r="AS99" s="4"/>
      <c r="AT99" s="4"/>
      <c r="AU99" s="91"/>
      <c r="AV99" s="4"/>
      <c r="AW99" s="4"/>
      <c r="AY99" s="4"/>
      <c r="AZ99" s="4"/>
      <c r="BA99" s="4"/>
      <c r="BB99" s="4"/>
      <c r="BC99" s="4" t="s">
        <v>135</v>
      </c>
      <c r="BD99" s="4"/>
      <c r="BE99" s="4"/>
      <c r="BF99" s="4"/>
      <c r="BG99" s="4"/>
      <c r="BH99" s="4"/>
      <c r="BI99" s="69">
        <v>45611</v>
      </c>
      <c r="BJ99" s="69"/>
      <c r="BK99" s="69">
        <v>45818</v>
      </c>
      <c r="BL99" s="97"/>
      <c r="BM99" s="4"/>
      <c r="BN99" s="4"/>
      <c r="BO99" s="91"/>
      <c r="BP99" s="4"/>
      <c r="CF99" s="4"/>
      <c r="CS99" s="147"/>
      <c r="CU99" s="216" t="s">
        <v>3028</v>
      </c>
      <c r="CW99" s="4" t="s">
        <v>3385</v>
      </c>
      <c r="CX99" s="39"/>
    </row>
    <row r="100" spans="1:102" x14ac:dyDescent="0.3">
      <c r="A100" s="2">
        <v>103</v>
      </c>
      <c r="B100" s="43" t="s">
        <v>867</v>
      </c>
      <c r="C100" s="51">
        <v>32.856136999999997</v>
      </c>
      <c r="D100" s="51">
        <v>-117.047352</v>
      </c>
      <c r="E100" s="2" t="s">
        <v>329</v>
      </c>
      <c r="F100" s="47" t="s">
        <v>868</v>
      </c>
      <c r="G100" s="2" t="s">
        <v>661</v>
      </c>
      <c r="H100" s="2" t="s">
        <v>146</v>
      </c>
      <c r="I100" s="2" t="s">
        <v>113</v>
      </c>
      <c r="J100" s="2" t="s">
        <v>109</v>
      </c>
      <c r="K100" s="2" t="s">
        <v>662</v>
      </c>
      <c r="L100" s="2" t="s">
        <v>869</v>
      </c>
      <c r="M100" s="2" t="s">
        <v>109</v>
      </c>
      <c r="N100" s="2" t="s">
        <v>109</v>
      </c>
      <c r="O100" s="68">
        <v>45503.5</v>
      </c>
      <c r="Q100" s="2">
        <v>41</v>
      </c>
      <c r="R100" s="2" t="s">
        <v>109</v>
      </c>
      <c r="S100" s="2" t="s">
        <v>109</v>
      </c>
      <c r="T100" s="2" t="s">
        <v>109</v>
      </c>
      <c r="U100" s="2" t="s">
        <v>404</v>
      </c>
      <c r="V100" s="2" t="s">
        <v>3386</v>
      </c>
      <c r="W100" s="2" t="b">
        <v>0</v>
      </c>
      <c r="X100" s="2" t="s">
        <v>109</v>
      </c>
      <c r="Y100" s="2" t="s">
        <v>866</v>
      </c>
      <c r="AA100" s="51">
        <v>8.1767050000000001</v>
      </c>
      <c r="AB100" s="2" t="s">
        <v>118</v>
      </c>
      <c r="AC100" s="2">
        <v>69</v>
      </c>
      <c r="AD100" s="2" t="s">
        <v>109</v>
      </c>
      <c r="AE100" s="2">
        <v>1.2</v>
      </c>
      <c r="AF100" s="2" t="s">
        <v>3387</v>
      </c>
      <c r="AG100" s="3" t="s">
        <v>3388</v>
      </c>
      <c r="AH100" s="3" t="s">
        <v>3389</v>
      </c>
      <c r="AI100" s="2">
        <v>1</v>
      </c>
      <c r="AJ100" s="2" t="s">
        <v>3390</v>
      </c>
      <c r="AK100" s="2" t="s">
        <v>121</v>
      </c>
      <c r="AL100" s="2" t="s">
        <v>3027</v>
      </c>
      <c r="AM100" s="68" t="s">
        <v>3391</v>
      </c>
      <c r="AN100" s="2" t="s">
        <v>122</v>
      </c>
      <c r="AO100" s="2">
        <v>2015</v>
      </c>
      <c r="AP100" s="109" t="s">
        <v>109</v>
      </c>
      <c r="AQ100" s="2" t="b">
        <v>0</v>
      </c>
      <c r="AR100" s="2" t="s">
        <v>109</v>
      </c>
      <c r="AS100" s="2" t="s">
        <v>109</v>
      </c>
      <c r="AT100" s="2" t="s">
        <v>118</v>
      </c>
      <c r="AU100" s="2" t="b">
        <v>0</v>
      </c>
      <c r="AV100" s="2" t="s">
        <v>109</v>
      </c>
      <c r="AW100" s="2" t="s">
        <v>109</v>
      </c>
      <c r="AY100" s="2" t="s">
        <v>124</v>
      </c>
      <c r="AZ100" s="2" t="s">
        <v>109</v>
      </c>
      <c r="BA100" s="2" t="s">
        <v>226</v>
      </c>
      <c r="BB100" s="2" t="s">
        <v>118</v>
      </c>
      <c r="BC100" s="2" t="s">
        <v>135</v>
      </c>
      <c r="BD100" s="2" t="s">
        <v>109</v>
      </c>
      <c r="BE100" s="2" t="s">
        <v>109</v>
      </c>
      <c r="BF100" s="2" t="s">
        <v>109</v>
      </c>
      <c r="BG100" s="2" t="s">
        <v>126</v>
      </c>
      <c r="BH100" s="2" t="s">
        <v>109</v>
      </c>
      <c r="BI100" s="68">
        <v>44865</v>
      </c>
      <c r="BJ100" s="68">
        <v>45322</v>
      </c>
      <c r="BK100" s="68">
        <v>45206</v>
      </c>
      <c r="BL100" s="98" t="s">
        <v>109</v>
      </c>
      <c r="BM100" s="2" t="s">
        <v>109</v>
      </c>
      <c r="BN100" s="2" t="b">
        <v>1</v>
      </c>
      <c r="BO100" s="85">
        <v>241.51248000000001</v>
      </c>
      <c r="BP100" s="2" t="s">
        <v>128</v>
      </c>
      <c r="CF100" s="2" t="s">
        <v>270</v>
      </c>
      <c r="CS100" s="142"/>
      <c r="CU100" s="132" t="s">
        <v>3187</v>
      </c>
      <c r="CW100" s="2" t="s">
        <v>3392</v>
      </c>
      <c r="CX100" s="38"/>
    </row>
    <row r="101" spans="1:102" x14ac:dyDescent="0.3">
      <c r="A101" s="4">
        <v>104</v>
      </c>
      <c r="B101" s="44" t="s">
        <v>877</v>
      </c>
      <c r="C101" s="53">
        <v>32.912139000000003</v>
      </c>
      <c r="D101" s="53">
        <v>-117.036969</v>
      </c>
      <c r="E101" s="4" t="s">
        <v>329</v>
      </c>
      <c r="F101" s="46" t="s">
        <v>878</v>
      </c>
      <c r="G101" s="4" t="s">
        <v>688</v>
      </c>
      <c r="H101" s="4" t="s">
        <v>146</v>
      </c>
      <c r="I101" s="4" t="s">
        <v>109</v>
      </c>
      <c r="J101" s="4" t="s">
        <v>109</v>
      </c>
      <c r="K101" s="4" t="s">
        <v>662</v>
      </c>
      <c r="L101" s="4" t="s">
        <v>663</v>
      </c>
      <c r="M101" s="4" t="s">
        <v>109</v>
      </c>
      <c r="N101" s="4" t="s">
        <v>109</v>
      </c>
      <c r="O101" s="69">
        <v>45300.5</v>
      </c>
      <c r="Q101" s="4">
        <v>47</v>
      </c>
      <c r="R101" s="4" t="s">
        <v>109</v>
      </c>
      <c r="S101" s="4" t="s">
        <v>109</v>
      </c>
      <c r="T101" s="4" t="s">
        <v>109</v>
      </c>
      <c r="U101" s="4" t="s">
        <v>404</v>
      </c>
      <c r="V101" s="4" t="s">
        <v>3201</v>
      </c>
      <c r="W101" s="4" t="b">
        <v>0</v>
      </c>
      <c r="X101" s="4" t="s">
        <v>109</v>
      </c>
      <c r="Y101" s="4" t="s">
        <v>876</v>
      </c>
      <c r="AA101" s="53">
        <v>4.7678630000000002</v>
      </c>
      <c r="AB101" s="4" t="s">
        <v>118</v>
      </c>
      <c r="AC101" s="4">
        <v>69</v>
      </c>
      <c r="AD101" s="4" t="s">
        <v>109</v>
      </c>
      <c r="AE101" s="4">
        <v>1.2</v>
      </c>
      <c r="AF101" s="4" t="s">
        <v>3393</v>
      </c>
      <c r="AG101" s="5" t="s">
        <v>3394</v>
      </c>
      <c r="AH101" s="5" t="s">
        <v>3395</v>
      </c>
      <c r="AI101" s="4">
        <v>1</v>
      </c>
      <c r="AJ101" s="4" t="s">
        <v>3396</v>
      </c>
      <c r="AK101" s="4" t="s">
        <v>121</v>
      </c>
      <c r="AL101" s="4" t="s">
        <v>3027</v>
      </c>
      <c r="AM101" s="69">
        <v>43777</v>
      </c>
      <c r="AN101" s="4" t="s">
        <v>122</v>
      </c>
      <c r="AO101" s="4">
        <v>2015</v>
      </c>
      <c r="AP101" s="217" t="s">
        <v>109</v>
      </c>
      <c r="AQ101" s="4" t="b">
        <v>0</v>
      </c>
      <c r="AR101" s="4" t="s">
        <v>109</v>
      </c>
      <c r="AS101" s="4" t="s">
        <v>109</v>
      </c>
      <c r="AT101" s="4" t="s">
        <v>118</v>
      </c>
      <c r="AU101" s="4" t="b">
        <v>0</v>
      </c>
      <c r="AV101" s="4" t="s">
        <v>109</v>
      </c>
      <c r="AW101" s="4" t="s">
        <v>109</v>
      </c>
      <c r="AY101" s="4" t="s">
        <v>124</v>
      </c>
      <c r="AZ101" s="4" t="s">
        <v>109</v>
      </c>
      <c r="BA101" s="4" t="s">
        <v>118</v>
      </c>
      <c r="BB101" s="4" t="s">
        <v>109</v>
      </c>
      <c r="BC101" s="4" t="s">
        <v>135</v>
      </c>
      <c r="BD101" s="4" t="s">
        <v>109</v>
      </c>
      <c r="BE101" s="4" t="s">
        <v>494</v>
      </c>
      <c r="BF101" s="4">
        <v>2021</v>
      </c>
      <c r="BG101" s="4" t="s">
        <v>126</v>
      </c>
      <c r="BH101" s="4" t="s">
        <v>109</v>
      </c>
      <c r="BI101" s="69">
        <v>44627</v>
      </c>
      <c r="BJ101" s="69">
        <v>44743</v>
      </c>
      <c r="BK101" s="69">
        <v>44753</v>
      </c>
      <c r="BL101" s="97" t="s">
        <v>109</v>
      </c>
      <c r="BM101" s="4" t="s">
        <v>109</v>
      </c>
      <c r="BN101" s="4" t="b">
        <v>1</v>
      </c>
      <c r="BO101" s="130">
        <v>104.02819</v>
      </c>
      <c r="BP101" s="4" t="s">
        <v>128</v>
      </c>
      <c r="CF101" s="4" t="s">
        <v>270</v>
      </c>
      <c r="CS101" s="143"/>
      <c r="CU101" s="216" t="s">
        <v>3187</v>
      </c>
      <c r="CW101" s="4" t="s">
        <v>3397</v>
      </c>
      <c r="CX101" s="39"/>
    </row>
    <row r="102" spans="1:102" x14ac:dyDescent="0.3">
      <c r="A102" s="2">
        <v>105</v>
      </c>
      <c r="B102" s="43" t="s">
        <v>884</v>
      </c>
      <c r="C102" s="51">
        <v>32.72</v>
      </c>
      <c r="D102" s="51">
        <v>-117.24299999999999</v>
      </c>
      <c r="E102" s="2" t="s">
        <v>329</v>
      </c>
      <c r="F102" s="47" t="s">
        <v>885</v>
      </c>
      <c r="G102" s="2" t="s">
        <v>886</v>
      </c>
      <c r="H102" s="2" t="s">
        <v>113</v>
      </c>
      <c r="I102" s="2" t="s">
        <v>109</v>
      </c>
      <c r="J102" s="2" t="s">
        <v>109</v>
      </c>
      <c r="K102" s="2" t="s">
        <v>114</v>
      </c>
      <c r="L102" s="2" t="s">
        <v>251</v>
      </c>
      <c r="M102" s="2" t="s">
        <v>109</v>
      </c>
      <c r="N102" s="2" t="s">
        <v>109</v>
      </c>
      <c r="O102" s="68">
        <v>45434</v>
      </c>
      <c r="Q102" s="2">
        <v>47</v>
      </c>
      <c r="R102" s="2" t="s">
        <v>109</v>
      </c>
      <c r="S102" s="2" t="s">
        <v>109</v>
      </c>
      <c r="T102" s="2" t="s">
        <v>109</v>
      </c>
      <c r="U102" s="2" t="s">
        <v>116</v>
      </c>
      <c r="V102" s="2" t="s">
        <v>3022</v>
      </c>
      <c r="W102" s="2" t="b">
        <v>0</v>
      </c>
      <c r="X102" s="2" t="s">
        <v>109</v>
      </c>
      <c r="Y102" s="2" t="s">
        <v>820</v>
      </c>
      <c r="AA102" s="51">
        <v>4</v>
      </c>
      <c r="AB102" s="2" t="s">
        <v>118</v>
      </c>
      <c r="AC102" s="2">
        <v>69</v>
      </c>
      <c r="AD102" s="2" t="s">
        <v>109</v>
      </c>
      <c r="AE102" s="2">
        <v>4.0999999999999996</v>
      </c>
      <c r="AF102" s="2" t="s">
        <v>3398</v>
      </c>
      <c r="AG102" s="3" t="s">
        <v>3399</v>
      </c>
      <c r="AH102" s="3" t="s">
        <v>3400</v>
      </c>
      <c r="AI102" s="2">
        <v>1</v>
      </c>
      <c r="AJ102" s="2" t="s">
        <v>3401</v>
      </c>
      <c r="AK102" s="2" t="s">
        <v>121</v>
      </c>
      <c r="AL102" s="2" t="s">
        <v>3027</v>
      </c>
      <c r="AM102" s="68" t="s">
        <v>3402</v>
      </c>
      <c r="AN102" s="2" t="s">
        <v>122</v>
      </c>
      <c r="AO102" s="2">
        <v>2012</v>
      </c>
      <c r="AP102" s="109" t="s">
        <v>109</v>
      </c>
      <c r="AQ102" s="2" t="b">
        <v>0</v>
      </c>
      <c r="AR102" s="2" t="s">
        <v>109</v>
      </c>
      <c r="AS102" s="2" t="s">
        <v>109</v>
      </c>
      <c r="AT102" s="2" t="s">
        <v>118</v>
      </c>
      <c r="AU102" s="2" t="b">
        <v>0</v>
      </c>
      <c r="AV102" s="2" t="s">
        <v>109</v>
      </c>
      <c r="AW102" s="2" t="s">
        <v>109</v>
      </c>
      <c r="AY102" s="2" t="s">
        <v>109</v>
      </c>
      <c r="AZ102" s="2" t="s">
        <v>109</v>
      </c>
      <c r="BA102" s="2" t="s">
        <v>109</v>
      </c>
      <c r="BB102" s="2" t="s">
        <v>118</v>
      </c>
      <c r="BC102" s="2" t="s">
        <v>135</v>
      </c>
      <c r="BD102" s="129" t="s">
        <v>889</v>
      </c>
      <c r="BE102" s="2" t="s">
        <v>494</v>
      </c>
      <c r="BF102" s="2">
        <v>2024</v>
      </c>
      <c r="BG102" s="2" t="s">
        <v>1146</v>
      </c>
      <c r="BH102" s="2" t="s">
        <v>109</v>
      </c>
      <c r="BI102" s="68">
        <v>45299</v>
      </c>
      <c r="BJ102" s="68">
        <v>46387</v>
      </c>
      <c r="BK102" s="68">
        <v>46125</v>
      </c>
      <c r="BL102" s="98" t="s">
        <v>699</v>
      </c>
      <c r="BM102" s="2" t="s">
        <v>893</v>
      </c>
      <c r="BN102" s="98" t="b">
        <v>0</v>
      </c>
      <c r="BO102" s="85">
        <v>46528</v>
      </c>
      <c r="BP102" s="2" t="s">
        <v>128</v>
      </c>
      <c r="CF102" s="2" t="s">
        <v>109</v>
      </c>
      <c r="CS102" s="142"/>
      <c r="CU102" s="132" t="s">
        <v>3187</v>
      </c>
      <c r="CW102" s="2" t="s">
        <v>3403</v>
      </c>
      <c r="CX102" s="38"/>
    </row>
    <row r="103" spans="1:102" x14ac:dyDescent="0.3">
      <c r="A103" s="4">
        <v>107</v>
      </c>
      <c r="B103" s="44" t="s">
        <v>894</v>
      </c>
      <c r="C103" s="53">
        <v>33.01</v>
      </c>
      <c r="D103" s="53">
        <v>-117.096</v>
      </c>
      <c r="E103" s="4" t="s">
        <v>329</v>
      </c>
      <c r="F103" s="46" t="s">
        <v>895</v>
      </c>
      <c r="G103" s="4" t="s">
        <v>811</v>
      </c>
      <c r="H103" s="4" t="s">
        <v>113</v>
      </c>
      <c r="I103" s="4" t="s">
        <v>109</v>
      </c>
      <c r="J103" s="4" t="s">
        <v>109</v>
      </c>
      <c r="K103" s="4" t="s">
        <v>485</v>
      </c>
      <c r="L103" s="4" t="s">
        <v>896</v>
      </c>
      <c r="M103" s="4" t="s">
        <v>109</v>
      </c>
      <c r="N103" s="4" t="s">
        <v>109</v>
      </c>
      <c r="O103" s="69">
        <v>45309.5</v>
      </c>
      <c r="Q103" s="6" t="s">
        <v>775</v>
      </c>
      <c r="R103" s="4" t="s">
        <v>508</v>
      </c>
      <c r="S103" s="4" t="s">
        <v>509</v>
      </c>
      <c r="T103" s="4" t="s">
        <v>109</v>
      </c>
      <c r="U103" s="4" t="s">
        <v>404</v>
      </c>
      <c r="V103" s="4" t="s">
        <v>3275</v>
      </c>
      <c r="W103" s="4" t="b">
        <v>0</v>
      </c>
      <c r="X103" s="4" t="s">
        <v>109</v>
      </c>
      <c r="Y103" s="4" t="s">
        <v>820</v>
      </c>
      <c r="AA103" s="53">
        <v>2.88</v>
      </c>
      <c r="AB103" s="4" t="s">
        <v>118</v>
      </c>
      <c r="AC103" s="4">
        <v>69</v>
      </c>
      <c r="AD103" s="4" t="s">
        <v>109</v>
      </c>
      <c r="AE103" s="4">
        <v>2.1</v>
      </c>
      <c r="AF103" s="4" t="s">
        <v>3404</v>
      </c>
      <c r="AG103" s="5" t="s">
        <v>3405</v>
      </c>
      <c r="AH103" s="5" t="s">
        <v>3406</v>
      </c>
      <c r="AI103" s="4">
        <v>1</v>
      </c>
      <c r="AJ103" s="4" t="s">
        <v>3407</v>
      </c>
      <c r="AK103" s="4" t="s">
        <v>121</v>
      </c>
      <c r="AL103" s="4" t="s">
        <v>3053</v>
      </c>
      <c r="AM103" s="69" t="s">
        <v>109</v>
      </c>
      <c r="AN103" s="4" t="s">
        <v>122</v>
      </c>
      <c r="AO103" s="4">
        <v>2012</v>
      </c>
      <c r="AP103" s="217">
        <v>2012</v>
      </c>
      <c r="AQ103" s="4" t="b">
        <v>0</v>
      </c>
      <c r="AR103" s="4" t="s">
        <v>899</v>
      </c>
      <c r="AS103" s="4" t="s">
        <v>109</v>
      </c>
      <c r="AT103" s="4" t="s">
        <v>795</v>
      </c>
      <c r="AU103" s="4" t="b">
        <v>0</v>
      </c>
      <c r="AV103" s="4" t="s">
        <v>109</v>
      </c>
      <c r="AW103" s="4" t="s">
        <v>109</v>
      </c>
      <c r="AY103" s="4" t="s">
        <v>124</v>
      </c>
      <c r="AZ103" s="4" t="s">
        <v>109</v>
      </c>
      <c r="BA103" s="4" t="s">
        <v>226</v>
      </c>
      <c r="BB103" s="4" t="s">
        <v>118</v>
      </c>
      <c r="BC103" s="4" t="s">
        <v>666</v>
      </c>
      <c r="BD103" s="4">
        <v>43054</v>
      </c>
      <c r="BE103" s="4" t="s">
        <v>494</v>
      </c>
      <c r="BF103" s="4">
        <v>2017</v>
      </c>
      <c r="BG103" s="4" t="s">
        <v>126</v>
      </c>
      <c r="BH103" s="4" t="s">
        <v>109</v>
      </c>
      <c r="BI103" s="69">
        <v>43290</v>
      </c>
      <c r="BJ103" s="69">
        <v>42156</v>
      </c>
      <c r="BK103" s="69">
        <v>43776</v>
      </c>
      <c r="BL103" s="97" t="s">
        <v>699</v>
      </c>
      <c r="BM103" s="4" t="s">
        <v>893</v>
      </c>
      <c r="BN103" s="97" t="b">
        <v>0</v>
      </c>
      <c r="BO103" s="130">
        <v>46190.46</v>
      </c>
      <c r="BP103" s="4" t="s">
        <v>128</v>
      </c>
      <c r="CF103" s="4" t="s">
        <v>189</v>
      </c>
      <c r="CS103" s="143"/>
      <c r="CU103" s="216" t="s">
        <v>3187</v>
      </c>
      <c r="CW103" s="4" t="s">
        <v>3408</v>
      </c>
      <c r="CX103" s="39"/>
    </row>
    <row r="104" spans="1:102" ht="27" x14ac:dyDescent="0.3">
      <c r="A104" s="2">
        <v>110</v>
      </c>
      <c r="B104" s="43" t="s">
        <v>903</v>
      </c>
      <c r="C104" s="7">
        <v>35.787999999999997</v>
      </c>
      <c r="D104" s="2">
        <v>-114.99299999999999</v>
      </c>
      <c r="E104" s="2" t="s">
        <v>318</v>
      </c>
      <c r="F104" s="43" t="s">
        <v>903</v>
      </c>
      <c r="G104" s="67" t="s">
        <v>661</v>
      </c>
      <c r="H104" s="67" t="s">
        <v>112</v>
      </c>
      <c r="I104" s="67" t="s">
        <v>112</v>
      </c>
      <c r="J104" s="2" t="s">
        <v>109</v>
      </c>
      <c r="K104" s="67" t="s">
        <v>485</v>
      </c>
      <c r="L104" s="67" t="s">
        <v>904</v>
      </c>
      <c r="M104" s="67" t="s">
        <v>109</v>
      </c>
      <c r="N104" s="67" t="s">
        <v>109</v>
      </c>
      <c r="O104" s="74">
        <v>45037</v>
      </c>
      <c r="Q104" s="7" t="s">
        <v>109</v>
      </c>
      <c r="R104" s="67" t="s">
        <v>109</v>
      </c>
      <c r="S104" s="67" t="s">
        <v>109</v>
      </c>
      <c r="T104" s="67" t="s">
        <v>109</v>
      </c>
      <c r="U104" s="2" t="s">
        <v>116</v>
      </c>
      <c r="V104" s="2" t="s">
        <v>3158</v>
      </c>
      <c r="W104" s="2" t="b">
        <v>0</v>
      </c>
      <c r="X104" s="2" t="s">
        <v>123</v>
      </c>
      <c r="Y104" s="2" t="s">
        <v>902</v>
      </c>
      <c r="AA104" s="2" t="s">
        <v>109</v>
      </c>
      <c r="AB104" s="2">
        <v>72.12</v>
      </c>
      <c r="AC104" s="2" t="s">
        <v>304</v>
      </c>
      <c r="AD104" s="2" t="s">
        <v>109</v>
      </c>
      <c r="AE104" s="2">
        <v>2</v>
      </c>
      <c r="AF104" s="2" t="s">
        <v>3030</v>
      </c>
      <c r="AG104" s="3" t="s">
        <v>3409</v>
      </c>
      <c r="AH104" s="3" t="s">
        <v>3410</v>
      </c>
      <c r="AI104" s="2">
        <v>1</v>
      </c>
      <c r="AJ104" s="2" t="s">
        <v>3411</v>
      </c>
      <c r="AK104" s="2" t="s">
        <v>121</v>
      </c>
      <c r="AL104" s="2" t="s">
        <v>3027</v>
      </c>
      <c r="AM104" s="68">
        <v>42573</v>
      </c>
      <c r="AN104" s="2" t="s">
        <v>122</v>
      </c>
      <c r="AO104" s="2">
        <v>2019</v>
      </c>
      <c r="AP104" s="109" t="s">
        <v>109</v>
      </c>
      <c r="AQ104" s="2" t="b">
        <v>0</v>
      </c>
      <c r="AR104" s="2" t="s">
        <v>109</v>
      </c>
      <c r="AS104" s="2" t="s">
        <v>109</v>
      </c>
      <c r="AT104" s="2" t="s">
        <v>109</v>
      </c>
      <c r="AU104" s="2" t="b">
        <v>0</v>
      </c>
      <c r="AV104" s="2" t="s">
        <v>123</v>
      </c>
      <c r="AW104" s="2" t="s">
        <v>118</v>
      </c>
      <c r="AY104" s="2" t="s">
        <v>109</v>
      </c>
      <c r="AZ104" s="2" t="s">
        <v>109</v>
      </c>
      <c r="BA104" s="2" t="s">
        <v>226</v>
      </c>
      <c r="BB104" s="2" t="s">
        <v>118</v>
      </c>
      <c r="BC104" s="2" t="s">
        <v>109</v>
      </c>
      <c r="BD104" s="2" t="s">
        <v>109</v>
      </c>
      <c r="BE104" s="2" t="s">
        <v>494</v>
      </c>
      <c r="BF104" s="2" t="s">
        <v>109</v>
      </c>
      <c r="BG104" s="2" t="s">
        <v>126</v>
      </c>
      <c r="BH104" s="2" t="s">
        <v>109</v>
      </c>
      <c r="BI104" s="68" t="s">
        <v>109</v>
      </c>
      <c r="BJ104" s="68">
        <v>44926</v>
      </c>
      <c r="BK104" s="68" t="s">
        <v>109</v>
      </c>
      <c r="BL104" s="98" t="s">
        <v>109</v>
      </c>
      <c r="BM104" s="98" t="s">
        <v>109</v>
      </c>
      <c r="BN104" s="98" t="b">
        <v>0</v>
      </c>
      <c r="BO104" s="85">
        <v>17134.987000000001</v>
      </c>
      <c r="BP104" s="2" t="s">
        <v>128</v>
      </c>
      <c r="CF104" s="2" t="s">
        <v>3039</v>
      </c>
      <c r="CS104" s="146"/>
      <c r="CU104" s="132" t="s">
        <v>3187</v>
      </c>
      <c r="CW104" s="2" t="s">
        <v>3412</v>
      </c>
      <c r="CX104" s="220" t="s">
        <v>3162</v>
      </c>
    </row>
    <row r="105" spans="1:102" x14ac:dyDescent="0.3">
      <c r="A105" s="4">
        <v>112</v>
      </c>
      <c r="B105" s="44" t="s">
        <v>907</v>
      </c>
      <c r="C105" s="53">
        <v>32.843871</v>
      </c>
      <c r="D105" s="58">
        <v>-117.053304</v>
      </c>
      <c r="E105" s="4" t="s">
        <v>329</v>
      </c>
      <c r="F105" s="46" t="s">
        <v>908</v>
      </c>
      <c r="G105" s="4" t="s">
        <v>661</v>
      </c>
      <c r="H105" s="4" t="s">
        <v>146</v>
      </c>
      <c r="I105" s="4" t="s">
        <v>113</v>
      </c>
      <c r="J105" s="4" t="s">
        <v>109</v>
      </c>
      <c r="K105" s="4" t="s">
        <v>662</v>
      </c>
      <c r="L105" s="4" t="s">
        <v>869</v>
      </c>
      <c r="M105" s="4" t="s">
        <v>109</v>
      </c>
      <c r="N105" s="4" t="s">
        <v>109</v>
      </c>
      <c r="O105" s="69">
        <v>45301.5</v>
      </c>
      <c r="Q105" s="4">
        <v>44</v>
      </c>
      <c r="R105" s="4" t="s">
        <v>109</v>
      </c>
      <c r="S105" s="4" t="s">
        <v>109</v>
      </c>
      <c r="T105" s="4" t="s">
        <v>109</v>
      </c>
      <c r="U105" s="4" t="s">
        <v>404</v>
      </c>
      <c r="V105" s="4" t="s">
        <v>3386</v>
      </c>
      <c r="W105" s="4" t="b">
        <v>0</v>
      </c>
      <c r="X105" s="4" t="s">
        <v>109</v>
      </c>
      <c r="Y105" s="4" t="s">
        <v>866</v>
      </c>
      <c r="AA105" s="53">
        <v>5.8671899999999999</v>
      </c>
      <c r="AB105" s="4" t="s">
        <v>118</v>
      </c>
      <c r="AC105" s="4">
        <v>69</v>
      </c>
      <c r="AD105" s="4" t="s">
        <v>109</v>
      </c>
      <c r="AE105" s="4">
        <v>1.2</v>
      </c>
      <c r="AF105" s="4" t="s">
        <v>3413</v>
      </c>
      <c r="AG105" s="5" t="s">
        <v>3414</v>
      </c>
      <c r="AH105" s="5" t="s">
        <v>3415</v>
      </c>
      <c r="AI105" s="4">
        <v>1</v>
      </c>
      <c r="AJ105" s="4" t="s">
        <v>3416</v>
      </c>
      <c r="AK105" s="4" t="s">
        <v>121</v>
      </c>
      <c r="AL105" s="4" t="s">
        <v>3027</v>
      </c>
      <c r="AM105" s="69" t="s">
        <v>3417</v>
      </c>
      <c r="AN105" s="4" t="s">
        <v>122</v>
      </c>
      <c r="AO105" s="4">
        <v>2015</v>
      </c>
      <c r="AP105" s="217" t="s">
        <v>109</v>
      </c>
      <c r="AQ105" s="4" t="b">
        <v>0</v>
      </c>
      <c r="AR105" s="4" t="s">
        <v>109</v>
      </c>
      <c r="AS105" s="4" t="s">
        <v>109</v>
      </c>
      <c r="AT105" s="4" t="s">
        <v>118</v>
      </c>
      <c r="AU105" s="4" t="b">
        <v>0</v>
      </c>
      <c r="AV105" s="4" t="s">
        <v>109</v>
      </c>
      <c r="AW105" s="4" t="s">
        <v>109</v>
      </c>
      <c r="AY105" s="4" t="s">
        <v>124</v>
      </c>
      <c r="AZ105" s="4" t="s">
        <v>109</v>
      </c>
      <c r="BA105" s="4" t="s">
        <v>226</v>
      </c>
      <c r="BB105" s="4" t="s">
        <v>118</v>
      </c>
      <c r="BC105" s="4" t="s">
        <v>135</v>
      </c>
      <c r="BD105" s="4" t="s">
        <v>109</v>
      </c>
      <c r="BE105" s="4" t="s">
        <v>109</v>
      </c>
      <c r="BF105" s="4" t="s">
        <v>109</v>
      </c>
      <c r="BG105" s="4" t="s">
        <v>126</v>
      </c>
      <c r="BH105" s="4" t="s">
        <v>109</v>
      </c>
      <c r="BI105" s="69">
        <v>44638</v>
      </c>
      <c r="BJ105" s="69">
        <v>44926</v>
      </c>
      <c r="BK105" s="69">
        <v>44851</v>
      </c>
      <c r="BL105" s="97" t="s">
        <v>109</v>
      </c>
      <c r="BM105" s="4" t="s">
        <v>109</v>
      </c>
      <c r="BN105" s="4" t="b">
        <v>1</v>
      </c>
      <c r="BO105" s="130">
        <v>25131.988150000001</v>
      </c>
      <c r="BP105" s="4" t="s">
        <v>128</v>
      </c>
      <c r="CF105" s="4" t="s">
        <v>270</v>
      </c>
      <c r="CS105" s="143"/>
      <c r="CU105" s="216" t="s">
        <v>3187</v>
      </c>
      <c r="CW105" s="4" t="s">
        <v>3418</v>
      </c>
      <c r="CX105" s="39"/>
    </row>
    <row r="106" spans="1:102" x14ac:dyDescent="0.3">
      <c r="A106" s="2">
        <v>113</v>
      </c>
      <c r="B106" s="43" t="s">
        <v>914</v>
      </c>
      <c r="C106" s="51">
        <v>33.326633999999999</v>
      </c>
      <c r="D106" s="59">
        <v>-117.23498499999999</v>
      </c>
      <c r="E106" s="2" t="s">
        <v>915</v>
      </c>
      <c r="F106" s="47" t="s">
        <v>916</v>
      </c>
      <c r="G106" s="2" t="s">
        <v>688</v>
      </c>
      <c r="H106" s="2" t="s">
        <v>146</v>
      </c>
      <c r="I106" s="2" t="s">
        <v>109</v>
      </c>
      <c r="J106" s="2" t="s">
        <v>109</v>
      </c>
      <c r="K106" s="2" t="s">
        <v>662</v>
      </c>
      <c r="L106" s="2" t="s">
        <v>663</v>
      </c>
      <c r="M106" s="2" t="s">
        <v>109</v>
      </c>
      <c r="N106" s="2" t="s">
        <v>109</v>
      </c>
      <c r="O106" s="68">
        <v>45495.5</v>
      </c>
      <c r="Q106" s="2">
        <v>60</v>
      </c>
      <c r="R106" s="2" t="s">
        <v>109</v>
      </c>
      <c r="S106" s="2" t="s">
        <v>109</v>
      </c>
      <c r="T106" s="2" t="s">
        <v>109</v>
      </c>
      <c r="U106" s="2" t="s">
        <v>404</v>
      </c>
      <c r="V106" s="2" t="s">
        <v>3201</v>
      </c>
      <c r="W106" s="2" t="b">
        <v>0</v>
      </c>
      <c r="X106" s="2" t="s">
        <v>109</v>
      </c>
      <c r="Y106" s="2" t="s">
        <v>913</v>
      </c>
      <c r="AA106" s="51">
        <v>4.8499999999999996</v>
      </c>
      <c r="AB106" s="2" t="s">
        <v>109</v>
      </c>
      <c r="AC106" s="2">
        <v>69</v>
      </c>
      <c r="AD106" s="2" t="s">
        <v>109</v>
      </c>
      <c r="AE106" s="2">
        <v>1.2</v>
      </c>
      <c r="AF106" s="2" t="s">
        <v>3419</v>
      </c>
      <c r="AG106" s="3" t="s">
        <v>3420</v>
      </c>
      <c r="AH106" s="3" t="s">
        <v>3421</v>
      </c>
      <c r="AI106" s="2">
        <v>1</v>
      </c>
      <c r="AJ106" s="2" t="s">
        <v>3422</v>
      </c>
      <c r="AK106" s="2" t="s">
        <v>121</v>
      </c>
      <c r="AL106" s="2" t="s">
        <v>3027</v>
      </c>
      <c r="AM106" s="68" t="s">
        <v>3423</v>
      </c>
      <c r="AN106" s="2" t="s">
        <v>122</v>
      </c>
      <c r="AO106" s="2">
        <v>2015</v>
      </c>
      <c r="AP106" s="109" t="s">
        <v>109</v>
      </c>
      <c r="AQ106" s="2" t="b">
        <v>0</v>
      </c>
      <c r="AR106" s="2" t="s">
        <v>109</v>
      </c>
      <c r="AS106" s="2" t="s">
        <v>109</v>
      </c>
      <c r="AT106" s="2" t="s">
        <v>118</v>
      </c>
      <c r="AU106" s="2" t="b">
        <v>0</v>
      </c>
      <c r="AV106" s="2" t="s">
        <v>123</v>
      </c>
      <c r="AW106" s="2" t="s">
        <v>109</v>
      </c>
      <c r="AY106" s="2" t="s">
        <v>124</v>
      </c>
      <c r="AZ106" s="2" t="s">
        <v>109</v>
      </c>
      <c r="BA106" s="2" t="s">
        <v>109</v>
      </c>
      <c r="BB106" s="2" t="s">
        <v>109</v>
      </c>
      <c r="BC106" s="2" t="s">
        <v>135</v>
      </c>
      <c r="BD106" s="2" t="s">
        <v>109</v>
      </c>
      <c r="BE106" s="2" t="s">
        <v>494</v>
      </c>
      <c r="BF106" s="2">
        <v>2024</v>
      </c>
      <c r="BG106" s="2" t="s">
        <v>699</v>
      </c>
      <c r="BH106" s="2" t="s">
        <v>109</v>
      </c>
      <c r="BI106" s="68">
        <v>45874</v>
      </c>
      <c r="BJ106" s="68">
        <v>44196</v>
      </c>
      <c r="BK106" s="68">
        <v>46374</v>
      </c>
      <c r="BL106" s="98" t="s">
        <v>326</v>
      </c>
      <c r="BM106" s="2" t="s">
        <v>2882</v>
      </c>
      <c r="BN106" s="98" t="b">
        <v>0</v>
      </c>
      <c r="BO106" s="85">
        <v>36464.089740000003</v>
      </c>
      <c r="BP106" s="2" t="s">
        <v>128</v>
      </c>
      <c r="CF106" s="2" t="s">
        <v>109</v>
      </c>
      <c r="CS106" s="142"/>
      <c r="CU106" s="132" t="s">
        <v>3187</v>
      </c>
      <c r="CW106" s="2" t="s">
        <v>3424</v>
      </c>
      <c r="CX106" s="38"/>
    </row>
    <row r="107" spans="1:102" x14ac:dyDescent="0.3">
      <c r="A107" s="4">
        <v>114</v>
      </c>
      <c r="B107" s="44" t="s">
        <v>922</v>
      </c>
      <c r="C107" s="53">
        <v>33.497442999999997</v>
      </c>
      <c r="D107" s="58">
        <v>-117.567031</v>
      </c>
      <c r="E107" s="4" t="s">
        <v>923</v>
      </c>
      <c r="F107" s="46" t="s">
        <v>924</v>
      </c>
      <c r="G107" s="4" t="s">
        <v>661</v>
      </c>
      <c r="H107" s="4" t="s">
        <v>146</v>
      </c>
      <c r="I107" s="4" t="s">
        <v>113</v>
      </c>
      <c r="J107" s="4" t="s">
        <v>109</v>
      </c>
      <c r="K107" s="4" t="s">
        <v>662</v>
      </c>
      <c r="L107" s="4" t="s">
        <v>925</v>
      </c>
      <c r="M107" s="4" t="s">
        <v>109</v>
      </c>
      <c r="N107" s="4" t="s">
        <v>109</v>
      </c>
      <c r="O107" s="69">
        <v>45351</v>
      </c>
      <c r="Q107" s="4">
        <v>28</v>
      </c>
      <c r="R107" s="4" t="s">
        <v>109</v>
      </c>
      <c r="S107" s="4" t="s">
        <v>109</v>
      </c>
      <c r="T107" s="4" t="s">
        <v>109</v>
      </c>
      <c r="U107" s="4" t="s">
        <v>404</v>
      </c>
      <c r="V107" s="4" t="s">
        <v>3386</v>
      </c>
      <c r="W107" s="4" t="b">
        <v>0</v>
      </c>
      <c r="X107" s="4" t="s">
        <v>109</v>
      </c>
      <c r="Y107" s="4" t="s">
        <v>866</v>
      </c>
      <c r="AA107" s="53">
        <v>6.3770189999999998</v>
      </c>
      <c r="AB107" s="4" t="s">
        <v>118</v>
      </c>
      <c r="AC107" s="4">
        <v>138</v>
      </c>
      <c r="AD107" s="4" t="s">
        <v>109</v>
      </c>
      <c r="AE107" s="4">
        <v>1.2</v>
      </c>
      <c r="AF107" s="4" t="s">
        <v>3425</v>
      </c>
      <c r="AG107" s="5" t="s">
        <v>3426</v>
      </c>
      <c r="AH107" s="5" t="s">
        <v>3427</v>
      </c>
      <c r="AI107" s="4">
        <v>1</v>
      </c>
      <c r="AJ107" s="4" t="s">
        <v>3428</v>
      </c>
      <c r="AK107" s="4" t="s">
        <v>121</v>
      </c>
      <c r="AL107" s="4" t="s">
        <v>3027</v>
      </c>
      <c r="AM107" s="69" t="s">
        <v>3429</v>
      </c>
      <c r="AN107" s="4" t="s">
        <v>122</v>
      </c>
      <c r="AO107" s="4">
        <v>2015</v>
      </c>
      <c r="AP107" s="217" t="s">
        <v>109</v>
      </c>
      <c r="AQ107" s="4" t="b">
        <v>0</v>
      </c>
      <c r="AR107" s="4" t="s">
        <v>109</v>
      </c>
      <c r="AS107" s="4" t="s">
        <v>109</v>
      </c>
      <c r="AT107" s="4" t="s">
        <v>118</v>
      </c>
      <c r="AU107" s="4" t="b">
        <v>0</v>
      </c>
      <c r="AV107" s="4" t="s">
        <v>109</v>
      </c>
      <c r="AW107" s="4" t="s">
        <v>109</v>
      </c>
      <c r="AY107" s="4" t="s">
        <v>124</v>
      </c>
      <c r="AZ107" s="4" t="s">
        <v>109</v>
      </c>
      <c r="BA107" s="4" t="s">
        <v>226</v>
      </c>
      <c r="BB107" s="4" t="s">
        <v>118</v>
      </c>
      <c r="BC107" s="4" t="s">
        <v>135</v>
      </c>
      <c r="BD107" s="4" t="s">
        <v>109</v>
      </c>
      <c r="BE107" s="4" t="s">
        <v>109</v>
      </c>
      <c r="BF107" s="4" t="s">
        <v>109</v>
      </c>
      <c r="BG107" s="4" t="s">
        <v>126</v>
      </c>
      <c r="BH107" s="4" t="s">
        <v>109</v>
      </c>
      <c r="BI107" s="69">
        <v>44788</v>
      </c>
      <c r="BJ107" s="69">
        <v>45656</v>
      </c>
      <c r="BK107" s="69">
        <v>45039</v>
      </c>
      <c r="BL107" s="97" t="s">
        <v>109</v>
      </c>
      <c r="BM107" s="4" t="s">
        <v>109</v>
      </c>
      <c r="BN107" s="4" t="b">
        <v>1</v>
      </c>
      <c r="BO107" s="130">
        <v>317.23644999999999</v>
      </c>
      <c r="BP107" s="4" t="s">
        <v>128</v>
      </c>
      <c r="CF107" s="4" t="s">
        <v>528</v>
      </c>
      <c r="CS107" s="143"/>
      <c r="CU107" s="216" t="s">
        <v>3187</v>
      </c>
      <c r="CW107" s="4" t="s">
        <v>3430</v>
      </c>
      <c r="CX107" s="39"/>
    </row>
    <row r="108" spans="1:102" x14ac:dyDescent="0.3">
      <c r="A108" s="2">
        <v>115</v>
      </c>
      <c r="B108" s="43" t="s">
        <v>931</v>
      </c>
      <c r="C108" s="51">
        <v>33.527481000000002</v>
      </c>
      <c r="D108" s="59">
        <v>-117.611205</v>
      </c>
      <c r="E108" s="2" t="s">
        <v>923</v>
      </c>
      <c r="F108" s="47" t="s">
        <v>932</v>
      </c>
      <c r="G108" s="2" t="s">
        <v>661</v>
      </c>
      <c r="H108" s="2" t="s">
        <v>146</v>
      </c>
      <c r="I108" s="2" t="s">
        <v>113</v>
      </c>
      <c r="J108" s="2" t="s">
        <v>109</v>
      </c>
      <c r="K108" s="2" t="s">
        <v>662</v>
      </c>
      <c r="L108" s="2" t="s">
        <v>869</v>
      </c>
      <c r="M108" s="2" t="s">
        <v>109</v>
      </c>
      <c r="N108" s="2" t="s">
        <v>109</v>
      </c>
      <c r="O108" s="68">
        <v>45351</v>
      </c>
      <c r="Q108" s="7" t="s">
        <v>933</v>
      </c>
      <c r="R108" s="2" t="s">
        <v>109</v>
      </c>
      <c r="S108" s="2" t="s">
        <v>109</v>
      </c>
      <c r="T108" s="2" t="s">
        <v>109</v>
      </c>
      <c r="U108" s="2" t="s">
        <v>404</v>
      </c>
      <c r="V108" s="2" t="s">
        <v>3386</v>
      </c>
      <c r="W108" s="2" t="b">
        <v>0</v>
      </c>
      <c r="X108" s="2" t="s">
        <v>109</v>
      </c>
      <c r="Y108" s="2" t="s">
        <v>866</v>
      </c>
      <c r="AA108" s="51">
        <v>1.6748339999999999</v>
      </c>
      <c r="AB108" s="2" t="s">
        <v>118</v>
      </c>
      <c r="AC108" s="2">
        <v>138</v>
      </c>
      <c r="AD108" s="2" t="s">
        <v>109</v>
      </c>
      <c r="AE108" s="2">
        <v>1.2</v>
      </c>
      <c r="AF108" s="2" t="s">
        <v>3431</v>
      </c>
      <c r="AG108" s="3" t="s">
        <v>3432</v>
      </c>
      <c r="AH108" s="3" t="s">
        <v>3433</v>
      </c>
      <c r="AI108" s="2">
        <v>1</v>
      </c>
      <c r="AJ108" s="2" t="s">
        <v>3434</v>
      </c>
      <c r="AK108" s="2" t="s">
        <v>121</v>
      </c>
      <c r="AL108" s="2" t="s">
        <v>3027</v>
      </c>
      <c r="AM108" s="68" t="s">
        <v>3423</v>
      </c>
      <c r="AN108" s="2" t="s">
        <v>122</v>
      </c>
      <c r="AO108" s="2">
        <v>2015</v>
      </c>
      <c r="AP108" s="109" t="s">
        <v>109</v>
      </c>
      <c r="AQ108" s="2" t="b">
        <v>0</v>
      </c>
      <c r="AR108" s="2" t="s">
        <v>109</v>
      </c>
      <c r="AS108" s="2" t="s">
        <v>109</v>
      </c>
      <c r="AT108" s="2" t="s">
        <v>118</v>
      </c>
      <c r="AU108" s="2" t="b">
        <v>0</v>
      </c>
      <c r="AV108" s="2" t="s">
        <v>109</v>
      </c>
      <c r="AW108" s="2" t="s">
        <v>109</v>
      </c>
      <c r="AY108" s="2" t="s">
        <v>124</v>
      </c>
      <c r="AZ108" s="2" t="s">
        <v>109</v>
      </c>
      <c r="BA108" s="2" t="s">
        <v>226</v>
      </c>
      <c r="BB108" s="2" t="s">
        <v>118</v>
      </c>
      <c r="BC108" s="2" t="s">
        <v>135</v>
      </c>
      <c r="BD108" s="2" t="s">
        <v>109</v>
      </c>
      <c r="BE108" s="2" t="s">
        <v>109</v>
      </c>
      <c r="BF108" s="2" t="s">
        <v>109</v>
      </c>
      <c r="BG108" s="2" t="s">
        <v>126</v>
      </c>
      <c r="BH108" s="2" t="s">
        <v>109</v>
      </c>
      <c r="BI108" s="68">
        <v>44463</v>
      </c>
      <c r="BJ108" s="68">
        <v>45656</v>
      </c>
      <c r="BK108" s="68">
        <v>44578</v>
      </c>
      <c r="BL108" s="98" t="s">
        <v>109</v>
      </c>
      <c r="BM108" s="2" t="s">
        <v>109</v>
      </c>
      <c r="BN108" s="2" t="b">
        <v>1</v>
      </c>
      <c r="BO108" s="85">
        <v>249.94092000000001</v>
      </c>
      <c r="BP108" s="2" t="s">
        <v>128</v>
      </c>
      <c r="CF108" s="2" t="s">
        <v>528</v>
      </c>
      <c r="CS108" s="142"/>
      <c r="CU108" s="132" t="s">
        <v>3187</v>
      </c>
      <c r="CW108" s="2" t="s">
        <v>3435</v>
      </c>
      <c r="CX108" s="38"/>
    </row>
    <row r="109" spans="1:102" x14ac:dyDescent="0.3">
      <c r="A109" s="4">
        <v>116</v>
      </c>
      <c r="B109" s="44" t="s">
        <v>939</v>
      </c>
      <c r="C109" s="53">
        <v>32.835057999999997</v>
      </c>
      <c r="D109" s="53">
        <v>-117.208454</v>
      </c>
      <c r="E109" s="4" t="s">
        <v>329</v>
      </c>
      <c r="F109" s="46" t="s">
        <v>3436</v>
      </c>
      <c r="G109" s="4" t="s">
        <v>688</v>
      </c>
      <c r="H109" s="4" t="s">
        <v>146</v>
      </c>
      <c r="I109" s="4" t="s">
        <v>113</v>
      </c>
      <c r="J109" s="4" t="s">
        <v>109</v>
      </c>
      <c r="K109" s="4" t="s">
        <v>114</v>
      </c>
      <c r="L109" s="4" t="s">
        <v>663</v>
      </c>
      <c r="M109" s="4" t="s">
        <v>109</v>
      </c>
      <c r="N109" s="4" t="s">
        <v>109</v>
      </c>
      <c r="O109" s="69">
        <v>45363</v>
      </c>
      <c r="Q109" s="4">
        <v>55</v>
      </c>
      <c r="R109" s="4" t="s">
        <v>109</v>
      </c>
      <c r="S109" s="4" t="s">
        <v>509</v>
      </c>
      <c r="T109" s="4" t="s">
        <v>109</v>
      </c>
      <c r="U109" s="4" t="s">
        <v>116</v>
      </c>
      <c r="V109" s="4" t="s">
        <v>3022</v>
      </c>
      <c r="W109" s="4" t="b">
        <v>0</v>
      </c>
      <c r="X109" s="4" t="s">
        <v>109</v>
      </c>
      <c r="Y109" s="4" t="s">
        <v>938</v>
      </c>
      <c r="AA109" s="53">
        <v>3.9990670000000001</v>
      </c>
      <c r="AB109" s="4" t="s">
        <v>118</v>
      </c>
      <c r="AC109" s="4">
        <v>69</v>
      </c>
      <c r="AD109" s="4" t="s">
        <v>109</v>
      </c>
      <c r="AE109" s="4">
        <v>4.0999999999999996</v>
      </c>
      <c r="AF109" s="4" t="s">
        <v>3437</v>
      </c>
      <c r="AG109" s="5" t="s">
        <v>3438</v>
      </c>
      <c r="AH109" s="5" t="s">
        <v>3439</v>
      </c>
      <c r="AI109" s="4">
        <v>1</v>
      </c>
      <c r="AJ109" s="4" t="s">
        <v>3440</v>
      </c>
      <c r="AK109" s="4" t="s">
        <v>121</v>
      </c>
      <c r="AL109" s="4" t="s">
        <v>3027</v>
      </c>
      <c r="AM109" s="69" t="s">
        <v>3441</v>
      </c>
      <c r="AN109" s="4" t="s">
        <v>122</v>
      </c>
      <c r="AO109" s="4">
        <v>2015</v>
      </c>
      <c r="AP109" s="217" t="s">
        <v>109</v>
      </c>
      <c r="AQ109" s="4" t="b">
        <v>0</v>
      </c>
      <c r="AR109" s="4" t="s">
        <v>109</v>
      </c>
      <c r="AS109" s="4" t="s">
        <v>109</v>
      </c>
      <c r="AT109" s="4" t="s">
        <v>118</v>
      </c>
      <c r="AU109" s="4" t="b">
        <v>0</v>
      </c>
      <c r="AV109" s="4" t="s">
        <v>109</v>
      </c>
      <c r="AW109" s="69">
        <v>40909</v>
      </c>
      <c r="AY109" s="4" t="s">
        <v>124</v>
      </c>
      <c r="AZ109" s="4" t="s">
        <v>109</v>
      </c>
      <c r="BA109" s="4" t="s">
        <v>118</v>
      </c>
      <c r="BB109" s="4" t="s">
        <v>118</v>
      </c>
      <c r="BC109" s="4" t="s">
        <v>135</v>
      </c>
      <c r="BD109" s="4" t="s">
        <v>109</v>
      </c>
      <c r="BE109" s="4" t="s">
        <v>494</v>
      </c>
      <c r="BF109" s="4">
        <v>2018</v>
      </c>
      <c r="BG109" s="4" t="s">
        <v>126</v>
      </c>
      <c r="BH109" s="4" t="s">
        <v>109</v>
      </c>
      <c r="BI109" s="69">
        <v>41306</v>
      </c>
      <c r="BJ109" s="69">
        <v>44317</v>
      </c>
      <c r="BK109" s="69">
        <v>44802</v>
      </c>
      <c r="BL109" s="97" t="s">
        <v>109</v>
      </c>
      <c r="BM109" s="4" t="s">
        <v>699</v>
      </c>
      <c r="BN109" s="4" t="b">
        <v>1</v>
      </c>
      <c r="BO109" s="130">
        <v>1260.07864</v>
      </c>
      <c r="BP109" s="4" t="s">
        <v>128</v>
      </c>
      <c r="CF109" s="4" t="s">
        <v>270</v>
      </c>
      <c r="CS109" s="143"/>
      <c r="CU109" s="216" t="s">
        <v>3187</v>
      </c>
      <c r="CW109" s="4" t="s">
        <v>3442</v>
      </c>
      <c r="CX109" s="39"/>
    </row>
    <row r="110" spans="1:102" x14ac:dyDescent="0.3">
      <c r="A110" s="2">
        <v>117</v>
      </c>
      <c r="B110" s="43" t="s">
        <v>947</v>
      </c>
      <c r="C110" s="52" t="s">
        <v>109</v>
      </c>
      <c r="D110" s="2" t="s">
        <v>109</v>
      </c>
      <c r="E110" s="7" t="s">
        <v>109</v>
      </c>
      <c r="F110" s="47" t="s">
        <v>948</v>
      </c>
      <c r="G110" s="2" t="s">
        <v>661</v>
      </c>
      <c r="H110" s="2" t="s">
        <v>109</v>
      </c>
      <c r="I110" s="2" t="s">
        <v>109</v>
      </c>
      <c r="J110" s="2" t="s">
        <v>109</v>
      </c>
      <c r="K110" s="2" t="s">
        <v>234</v>
      </c>
      <c r="L110" s="2" t="s">
        <v>663</v>
      </c>
      <c r="M110" s="2" t="s">
        <v>109</v>
      </c>
      <c r="N110" s="2" t="s">
        <v>109</v>
      </c>
      <c r="O110" s="2" t="s">
        <v>109</v>
      </c>
      <c r="Q110" s="2" t="s">
        <v>109</v>
      </c>
      <c r="R110" s="2" t="s">
        <v>109</v>
      </c>
      <c r="S110" s="2" t="s">
        <v>109</v>
      </c>
      <c r="T110" s="2" t="s">
        <v>109</v>
      </c>
      <c r="U110" s="2" t="s">
        <v>116</v>
      </c>
      <c r="V110" s="2" t="s">
        <v>3022</v>
      </c>
      <c r="W110" s="2" t="b">
        <v>0</v>
      </c>
      <c r="X110" s="2" t="s">
        <v>109</v>
      </c>
      <c r="Y110" s="2" t="s">
        <v>902</v>
      </c>
      <c r="AA110" s="2" t="s">
        <v>118</v>
      </c>
      <c r="AB110" s="2" t="s">
        <v>118</v>
      </c>
      <c r="AC110" s="2" t="s">
        <v>119</v>
      </c>
      <c r="AD110" s="2" t="s">
        <v>109</v>
      </c>
      <c r="AE110" s="2">
        <v>1.2</v>
      </c>
      <c r="AF110" s="2" t="s">
        <v>3023</v>
      </c>
      <c r="AG110" s="3" t="s">
        <v>3443</v>
      </c>
      <c r="AH110" s="3" t="s">
        <v>3025</v>
      </c>
      <c r="AI110" s="2">
        <v>81</v>
      </c>
      <c r="AJ110" s="2" t="s">
        <v>3444</v>
      </c>
      <c r="AK110" s="2" t="s">
        <v>121</v>
      </c>
      <c r="AL110" s="2" t="s">
        <v>3027</v>
      </c>
      <c r="AM110" s="68">
        <v>44904</v>
      </c>
      <c r="AN110" s="2" t="s">
        <v>122</v>
      </c>
      <c r="AO110" s="2" t="s">
        <v>109</v>
      </c>
      <c r="AP110" s="109" t="s">
        <v>109</v>
      </c>
      <c r="AQ110" s="2" t="b">
        <v>0</v>
      </c>
      <c r="AR110" s="2" t="s">
        <v>109</v>
      </c>
      <c r="AS110" s="2" t="s">
        <v>109</v>
      </c>
      <c r="AT110" s="2" t="s">
        <v>118</v>
      </c>
      <c r="AU110" s="2" t="b">
        <v>0</v>
      </c>
      <c r="AV110" s="2" t="s">
        <v>109</v>
      </c>
      <c r="AW110" s="2" t="s">
        <v>118</v>
      </c>
      <c r="AY110" s="2" t="s">
        <v>109</v>
      </c>
      <c r="AZ110" s="2" t="s">
        <v>109</v>
      </c>
      <c r="BA110" s="2" t="s">
        <v>118</v>
      </c>
      <c r="BB110" s="2" t="s">
        <v>118</v>
      </c>
      <c r="BC110" s="2" t="s">
        <v>109</v>
      </c>
      <c r="BD110" s="68" t="s">
        <v>109</v>
      </c>
      <c r="BE110" s="7" t="s">
        <v>109</v>
      </c>
      <c r="BF110" s="2" t="s">
        <v>109</v>
      </c>
      <c r="BG110" s="2" t="s">
        <v>126</v>
      </c>
      <c r="BH110" s="2" t="s">
        <v>109</v>
      </c>
      <c r="BI110" s="68" t="s">
        <v>109</v>
      </c>
      <c r="BJ110" s="68">
        <v>45291</v>
      </c>
      <c r="BK110" s="68" t="s">
        <v>109</v>
      </c>
      <c r="BL110" s="98" t="s">
        <v>109</v>
      </c>
      <c r="BM110" s="2" t="s">
        <v>109</v>
      </c>
      <c r="BN110" s="2" t="b">
        <v>1</v>
      </c>
      <c r="BO110" s="85" t="s">
        <v>118</v>
      </c>
      <c r="BP110" s="2" t="s">
        <v>128</v>
      </c>
      <c r="CF110" s="2" t="s">
        <v>528</v>
      </c>
      <c r="CS110" s="142"/>
      <c r="CU110" s="132" t="s">
        <v>3187</v>
      </c>
      <c r="CW110" s="2" t="s">
        <v>3029</v>
      </c>
      <c r="CX110" s="38"/>
    </row>
    <row r="111" spans="1:102" x14ac:dyDescent="0.3">
      <c r="A111" s="4">
        <v>118</v>
      </c>
      <c r="B111" s="44" t="s">
        <v>950</v>
      </c>
      <c r="C111" s="57" t="s">
        <v>109</v>
      </c>
      <c r="D111" s="4" t="s">
        <v>109</v>
      </c>
      <c r="E111" s="4" t="s">
        <v>109</v>
      </c>
      <c r="F111" s="46" t="s">
        <v>951</v>
      </c>
      <c r="G111" s="64" t="s">
        <v>688</v>
      </c>
      <c r="H111" s="64" t="s">
        <v>112</v>
      </c>
      <c r="I111" s="64" t="s">
        <v>109</v>
      </c>
      <c r="J111" s="64" t="s">
        <v>109</v>
      </c>
      <c r="K111" s="64" t="s">
        <v>234</v>
      </c>
      <c r="L111" s="65" t="s">
        <v>663</v>
      </c>
      <c r="M111" s="64" t="s">
        <v>109</v>
      </c>
      <c r="N111" s="64" t="s">
        <v>109</v>
      </c>
      <c r="O111" s="66">
        <v>45314</v>
      </c>
      <c r="Q111" s="6">
        <v>58</v>
      </c>
      <c r="R111" s="64" t="s">
        <v>109</v>
      </c>
      <c r="S111" s="64" t="s">
        <v>109</v>
      </c>
      <c r="T111" s="64" t="s">
        <v>109</v>
      </c>
      <c r="U111" s="4" t="s">
        <v>116</v>
      </c>
      <c r="V111" s="4" t="s">
        <v>3022</v>
      </c>
      <c r="W111" s="4" t="b">
        <v>0</v>
      </c>
      <c r="X111" s="4" t="s">
        <v>109</v>
      </c>
      <c r="Y111" s="4" t="s">
        <v>902</v>
      </c>
      <c r="AA111" s="6">
        <v>69</v>
      </c>
      <c r="AB111" s="4" t="s">
        <v>109</v>
      </c>
      <c r="AC111" s="4" t="s">
        <v>109</v>
      </c>
      <c r="AD111" s="4" t="s">
        <v>109</v>
      </c>
      <c r="AE111" s="4">
        <v>1.2</v>
      </c>
      <c r="AF111" s="4" t="s">
        <v>3445</v>
      </c>
      <c r="AG111" s="5" t="s">
        <v>3443</v>
      </c>
      <c r="AH111" s="5" t="s">
        <v>3446</v>
      </c>
      <c r="AI111" s="4">
        <v>1</v>
      </c>
      <c r="AJ111" s="4" t="s">
        <v>3444</v>
      </c>
      <c r="AK111" s="4" t="s">
        <v>121</v>
      </c>
      <c r="AL111" s="4" t="s">
        <v>3027</v>
      </c>
      <c r="AM111" s="69">
        <v>43311</v>
      </c>
      <c r="AN111" s="4" t="s">
        <v>122</v>
      </c>
      <c r="AO111" s="4" t="s">
        <v>109</v>
      </c>
      <c r="AP111" s="217" t="s">
        <v>109</v>
      </c>
      <c r="AQ111" s="4" t="b">
        <v>0</v>
      </c>
      <c r="AR111" s="4" t="s">
        <v>109</v>
      </c>
      <c r="AS111" s="4" t="s">
        <v>109</v>
      </c>
      <c r="AT111" s="4" t="s">
        <v>109</v>
      </c>
      <c r="AU111" s="4" t="b">
        <v>0</v>
      </c>
      <c r="AV111" s="4" t="s">
        <v>109</v>
      </c>
      <c r="AW111" s="4" t="s">
        <v>109</v>
      </c>
      <c r="AY111" s="4" t="s">
        <v>109</v>
      </c>
      <c r="AZ111" s="4" t="s">
        <v>109</v>
      </c>
      <c r="BA111" s="4" t="s">
        <v>109</v>
      </c>
      <c r="BB111" s="4" t="s">
        <v>109</v>
      </c>
      <c r="BC111" s="4" t="s">
        <v>109</v>
      </c>
      <c r="BD111" s="4" t="s">
        <v>109</v>
      </c>
      <c r="BE111" s="4" t="s">
        <v>109</v>
      </c>
      <c r="BF111" s="4" t="s">
        <v>109</v>
      </c>
      <c r="BG111" s="4" t="s">
        <v>126</v>
      </c>
      <c r="BH111" s="4" t="s">
        <v>109</v>
      </c>
      <c r="BI111" s="69" t="s">
        <v>109</v>
      </c>
      <c r="BJ111" s="69">
        <v>43830</v>
      </c>
      <c r="BK111" s="69" t="s">
        <v>109</v>
      </c>
      <c r="BL111" s="6" t="s">
        <v>109</v>
      </c>
      <c r="BM111" s="6" t="s">
        <v>109</v>
      </c>
      <c r="BN111" s="97" t="b">
        <v>0</v>
      </c>
      <c r="BO111" s="130" t="s">
        <v>118</v>
      </c>
      <c r="BP111" s="134" t="s">
        <v>128</v>
      </c>
      <c r="CF111" s="83" t="s">
        <v>460</v>
      </c>
      <c r="CS111" s="143"/>
      <c r="CU111" s="216" t="s">
        <v>3187</v>
      </c>
      <c r="CW111" s="4" t="s">
        <v>3447</v>
      </c>
      <c r="CX111" s="39"/>
    </row>
    <row r="112" spans="1:102" x14ac:dyDescent="0.3">
      <c r="A112" s="2">
        <v>119</v>
      </c>
      <c r="B112" s="109" t="s">
        <v>3448</v>
      </c>
      <c r="C112" s="55"/>
      <c r="D112" s="2"/>
      <c r="E112" s="2"/>
      <c r="F112" s="47"/>
      <c r="G112" s="67"/>
      <c r="H112" s="67"/>
      <c r="I112" s="67"/>
      <c r="J112" s="67"/>
      <c r="K112" s="67"/>
      <c r="L112" s="67"/>
      <c r="M112" s="67"/>
      <c r="N112" s="67"/>
      <c r="O112" s="67"/>
      <c r="Q112" s="67"/>
      <c r="R112" s="67"/>
      <c r="S112" s="67"/>
      <c r="T112" s="67"/>
      <c r="U112" s="86"/>
      <c r="V112" s="2"/>
      <c r="W112" s="2"/>
      <c r="X112" s="2"/>
      <c r="Y112" s="2" t="s">
        <v>902</v>
      </c>
      <c r="AA112" s="2"/>
      <c r="AB112" s="2"/>
      <c r="AC112" s="2"/>
      <c r="AD112" s="90"/>
      <c r="AE112" s="2"/>
      <c r="AF112" s="2" t="s">
        <v>3051</v>
      </c>
      <c r="AG112" s="3" t="s">
        <v>3443</v>
      </c>
      <c r="AH112" s="3" t="s">
        <v>3449</v>
      </c>
      <c r="AI112" s="2"/>
      <c r="AJ112" s="2" t="s">
        <v>3444</v>
      </c>
      <c r="AK112" s="2"/>
      <c r="AL112" s="2" t="s">
        <v>3053</v>
      </c>
      <c r="AM112" s="68"/>
      <c r="AN112" s="90"/>
      <c r="AO112" s="2"/>
      <c r="AP112" s="109"/>
      <c r="AQ112" s="2"/>
      <c r="AR112" s="2"/>
      <c r="AS112" s="2"/>
      <c r="AT112" s="2"/>
      <c r="AU112" s="90"/>
      <c r="AV112" s="2"/>
      <c r="AW112" s="2"/>
      <c r="AY112" s="2"/>
      <c r="AZ112" s="2"/>
      <c r="BA112" s="2"/>
      <c r="BB112" s="2"/>
      <c r="BC112" s="2"/>
      <c r="BD112" s="2"/>
      <c r="BE112" s="2"/>
      <c r="BF112" s="2"/>
      <c r="BG112" s="2"/>
      <c r="BH112" s="2"/>
      <c r="BI112" s="68"/>
      <c r="BJ112" s="68"/>
      <c r="BK112" s="68"/>
      <c r="BL112" s="98"/>
      <c r="BM112" s="2"/>
      <c r="BN112" s="2"/>
      <c r="BO112" s="90"/>
      <c r="BP112" s="2"/>
      <c r="CF112" s="2"/>
      <c r="CS112" s="146"/>
      <c r="CU112" s="132" t="s">
        <v>3187</v>
      </c>
      <c r="CW112" s="2" t="s">
        <v>3447</v>
      </c>
      <c r="CX112" s="38"/>
    </row>
    <row r="113" spans="1:102" x14ac:dyDescent="0.3">
      <c r="A113" s="4">
        <v>120</v>
      </c>
      <c r="B113" s="217" t="s">
        <v>3450</v>
      </c>
      <c r="C113" s="56"/>
      <c r="D113" s="4"/>
      <c r="E113" s="4"/>
      <c r="F113" s="46"/>
      <c r="G113" s="64"/>
      <c r="H113" s="64"/>
      <c r="I113" s="64"/>
      <c r="J113" s="64"/>
      <c r="K113" s="64"/>
      <c r="L113" s="64"/>
      <c r="M113" s="64"/>
      <c r="N113" s="64"/>
      <c r="O113" s="64"/>
      <c r="Q113" s="64"/>
      <c r="R113" s="64"/>
      <c r="S113" s="64"/>
      <c r="T113" s="64"/>
      <c r="U113" s="87"/>
      <c r="V113" s="4"/>
      <c r="W113" s="4"/>
      <c r="X113" s="4"/>
      <c r="Y113" s="4" t="s">
        <v>902</v>
      </c>
      <c r="AA113" s="4"/>
      <c r="AB113" s="4"/>
      <c r="AC113" s="4"/>
      <c r="AD113" s="91"/>
      <c r="AE113" s="4"/>
      <c r="AF113" s="4" t="s">
        <v>3051</v>
      </c>
      <c r="AG113" s="5" t="s">
        <v>3443</v>
      </c>
      <c r="AH113" s="5" t="s">
        <v>3451</v>
      </c>
      <c r="AI113" s="4"/>
      <c r="AJ113" s="4" t="s">
        <v>3444</v>
      </c>
      <c r="AK113" s="4"/>
      <c r="AL113" s="4" t="s">
        <v>3053</v>
      </c>
      <c r="AM113" s="69"/>
      <c r="AN113" s="91"/>
      <c r="AO113" s="4"/>
      <c r="AP113" s="217"/>
      <c r="AQ113" s="4"/>
      <c r="AR113" s="4"/>
      <c r="AS113" s="4"/>
      <c r="AT113" s="4"/>
      <c r="AU113" s="91"/>
      <c r="AV113" s="4"/>
      <c r="AW113" s="4"/>
      <c r="AY113" s="4"/>
      <c r="AZ113" s="4"/>
      <c r="BA113" s="4"/>
      <c r="BB113" s="4"/>
      <c r="BC113" s="4"/>
      <c r="BD113" s="4"/>
      <c r="BE113" s="4"/>
      <c r="BF113" s="4"/>
      <c r="BG113" s="4"/>
      <c r="BH113" s="4"/>
      <c r="BI113" s="69"/>
      <c r="BJ113" s="69"/>
      <c r="BK113" s="69"/>
      <c r="BL113" s="97"/>
      <c r="BM113" s="4"/>
      <c r="BN113" s="4"/>
      <c r="BO113" s="91"/>
      <c r="BP113" s="4"/>
      <c r="CF113" s="4"/>
      <c r="CS113" s="147"/>
      <c r="CU113" s="216" t="s">
        <v>3187</v>
      </c>
      <c r="CW113" s="4" t="s">
        <v>3452</v>
      </c>
      <c r="CX113" s="39"/>
    </row>
    <row r="114" spans="1:102" x14ac:dyDescent="0.3">
      <c r="A114" s="2">
        <v>121</v>
      </c>
      <c r="B114" s="109" t="s">
        <v>3453</v>
      </c>
      <c r="C114" s="55"/>
      <c r="D114" s="2"/>
      <c r="E114" s="2"/>
      <c r="F114" s="47"/>
      <c r="G114" s="67"/>
      <c r="H114" s="67"/>
      <c r="I114" s="67"/>
      <c r="J114" s="67"/>
      <c r="K114" s="67"/>
      <c r="L114" s="67"/>
      <c r="M114" s="67"/>
      <c r="N114" s="67"/>
      <c r="O114" s="67"/>
      <c r="Q114" s="67"/>
      <c r="R114" s="67"/>
      <c r="S114" s="67"/>
      <c r="T114" s="67"/>
      <c r="U114" s="86"/>
      <c r="V114" s="2"/>
      <c r="W114" s="2"/>
      <c r="X114" s="2"/>
      <c r="Y114" s="2" t="s">
        <v>902</v>
      </c>
      <c r="AA114" s="2"/>
      <c r="AB114" s="2"/>
      <c r="AC114" s="2"/>
      <c r="AD114" s="90"/>
      <c r="AE114" s="2"/>
      <c r="AF114" s="2" t="s">
        <v>3051</v>
      </c>
      <c r="AG114" s="3" t="s">
        <v>3443</v>
      </c>
      <c r="AH114" s="3" t="s">
        <v>3454</v>
      </c>
      <c r="AI114" s="2"/>
      <c r="AJ114" s="2" t="s">
        <v>3444</v>
      </c>
      <c r="AK114" s="2"/>
      <c r="AL114" s="2" t="s">
        <v>3053</v>
      </c>
      <c r="AM114" s="68"/>
      <c r="AN114" s="90"/>
      <c r="AO114" s="2"/>
      <c r="AP114" s="109"/>
      <c r="AQ114" s="2"/>
      <c r="AR114" s="2"/>
      <c r="AS114" s="2"/>
      <c r="AT114" s="2"/>
      <c r="AU114" s="90"/>
      <c r="AV114" s="2"/>
      <c r="AW114" s="2"/>
      <c r="AY114" s="2"/>
      <c r="AZ114" s="2"/>
      <c r="BA114" s="2"/>
      <c r="BB114" s="2"/>
      <c r="BC114" s="2"/>
      <c r="BD114" s="2"/>
      <c r="BE114" s="2"/>
      <c r="BF114" s="2"/>
      <c r="BG114" s="2"/>
      <c r="BH114" s="2"/>
      <c r="BI114" s="68"/>
      <c r="BJ114" s="68"/>
      <c r="BK114" s="68"/>
      <c r="BL114" s="98"/>
      <c r="BM114" s="2"/>
      <c r="BN114" s="2"/>
      <c r="BO114" s="90"/>
      <c r="BP114" s="2"/>
      <c r="CF114" s="2"/>
      <c r="CS114" s="146"/>
      <c r="CU114" s="132" t="s">
        <v>3187</v>
      </c>
      <c r="CW114" s="2" t="s">
        <v>3455</v>
      </c>
      <c r="CX114" s="38"/>
    </row>
    <row r="115" spans="1:102" ht="92.4" x14ac:dyDescent="0.3">
      <c r="A115" s="4">
        <v>122</v>
      </c>
      <c r="B115" s="44" t="s">
        <v>955</v>
      </c>
      <c r="C115" s="53">
        <v>32.959462000000002</v>
      </c>
      <c r="D115" s="53">
        <v>-117.24727</v>
      </c>
      <c r="E115" s="4" t="s">
        <v>956</v>
      </c>
      <c r="F115" s="46" t="s">
        <v>957</v>
      </c>
      <c r="G115" s="4" t="s">
        <v>661</v>
      </c>
      <c r="H115" s="4" t="s">
        <v>113</v>
      </c>
      <c r="I115" s="4" t="s">
        <v>958</v>
      </c>
      <c r="J115" s="4" t="s">
        <v>109</v>
      </c>
      <c r="K115" s="4" t="s">
        <v>114</v>
      </c>
      <c r="L115" s="4" t="s">
        <v>959</v>
      </c>
      <c r="M115" s="4" t="s">
        <v>109</v>
      </c>
      <c r="N115" s="4" t="s">
        <v>109</v>
      </c>
      <c r="O115" s="69">
        <v>45572</v>
      </c>
      <c r="Q115" s="4" t="s">
        <v>109</v>
      </c>
      <c r="R115" s="4" t="s">
        <v>508</v>
      </c>
      <c r="S115" s="4" t="s">
        <v>725</v>
      </c>
      <c r="T115" s="4" t="s">
        <v>109</v>
      </c>
      <c r="U115" s="4" t="s">
        <v>116</v>
      </c>
      <c r="V115" s="4" t="s">
        <v>3022</v>
      </c>
      <c r="W115" s="4" t="b">
        <v>0</v>
      </c>
      <c r="X115" s="4" t="s">
        <v>109</v>
      </c>
      <c r="Y115" s="4" t="s">
        <v>954</v>
      </c>
      <c r="AA115" s="53">
        <v>7.2488950000000001</v>
      </c>
      <c r="AB115" s="4" t="s">
        <v>118</v>
      </c>
      <c r="AC115" s="4">
        <v>69</v>
      </c>
      <c r="AD115" s="4" t="s">
        <v>109</v>
      </c>
      <c r="AE115" s="4">
        <v>2.1</v>
      </c>
      <c r="AF115" s="4" t="s">
        <v>3456</v>
      </c>
      <c r="AG115" s="5" t="s">
        <v>3457</v>
      </c>
      <c r="AH115" s="5" t="s">
        <v>3458</v>
      </c>
      <c r="AI115" s="4">
        <v>1</v>
      </c>
      <c r="AJ115" s="4" t="s">
        <v>3459</v>
      </c>
      <c r="AK115" s="4" t="s">
        <v>121</v>
      </c>
      <c r="AL115" s="4" t="s">
        <v>3053</v>
      </c>
      <c r="AM115" s="69" t="s">
        <v>109</v>
      </c>
      <c r="AN115" s="4" t="s">
        <v>122</v>
      </c>
      <c r="AO115" s="4">
        <v>2015</v>
      </c>
      <c r="AP115" s="217">
        <v>2013</v>
      </c>
      <c r="AQ115" s="4" t="b">
        <v>0</v>
      </c>
      <c r="AR115" s="4">
        <v>2013</v>
      </c>
      <c r="AS115" s="4" t="s">
        <v>109</v>
      </c>
      <c r="AT115" s="4" t="s">
        <v>962</v>
      </c>
      <c r="AU115" s="4" t="b">
        <v>0</v>
      </c>
      <c r="AV115" s="4" t="s">
        <v>490</v>
      </c>
      <c r="AW115" s="69">
        <v>43545</v>
      </c>
      <c r="AY115" s="4" t="s">
        <v>491</v>
      </c>
      <c r="AZ115" s="4" t="s">
        <v>109</v>
      </c>
      <c r="BA115" s="4" t="s">
        <v>226</v>
      </c>
      <c r="BB115" s="4" t="s">
        <v>118</v>
      </c>
      <c r="BC115" s="4" t="s">
        <v>492</v>
      </c>
      <c r="BD115" s="4">
        <v>42914</v>
      </c>
      <c r="BE115" s="4" t="s">
        <v>494</v>
      </c>
      <c r="BF115" s="4">
        <v>2019</v>
      </c>
      <c r="BG115" s="4" t="s">
        <v>126</v>
      </c>
      <c r="BH115" s="4" t="s">
        <v>109</v>
      </c>
      <c r="BI115" s="69">
        <v>44195</v>
      </c>
      <c r="BJ115" s="69">
        <v>42156</v>
      </c>
      <c r="BK115" s="69">
        <v>45275</v>
      </c>
      <c r="BL115" s="102" t="s">
        <v>246</v>
      </c>
      <c r="BM115" s="4" t="s">
        <v>109</v>
      </c>
      <c r="BN115" s="4" t="b">
        <v>1</v>
      </c>
      <c r="BO115" s="130">
        <v>17532.68619</v>
      </c>
      <c r="BP115" s="4" t="s">
        <v>128</v>
      </c>
      <c r="CF115" s="4" t="s">
        <v>3460</v>
      </c>
      <c r="CS115" s="143" t="s">
        <v>967</v>
      </c>
      <c r="CU115" s="216" t="s">
        <v>3060</v>
      </c>
      <c r="CW115" s="4" t="s">
        <v>3461</v>
      </c>
      <c r="CX115" s="39"/>
    </row>
    <row r="116" spans="1:102" x14ac:dyDescent="0.3">
      <c r="A116" s="2">
        <v>123</v>
      </c>
      <c r="B116" s="43" t="s">
        <v>968</v>
      </c>
      <c r="C116" s="2" t="s">
        <v>109</v>
      </c>
      <c r="D116" s="7" t="s">
        <v>109</v>
      </c>
      <c r="E116" s="7" t="s">
        <v>109</v>
      </c>
      <c r="F116" s="47" t="s">
        <v>969</v>
      </c>
      <c r="G116" s="2" t="s">
        <v>166</v>
      </c>
      <c r="H116" s="2" t="s">
        <v>113</v>
      </c>
      <c r="I116" s="2" t="s">
        <v>109</v>
      </c>
      <c r="J116" s="2" t="s">
        <v>109</v>
      </c>
      <c r="K116" s="2" t="s">
        <v>114</v>
      </c>
      <c r="L116" s="2" t="s">
        <v>393</v>
      </c>
      <c r="M116" s="2" t="s">
        <v>109</v>
      </c>
      <c r="N116" s="2" t="s">
        <v>109</v>
      </c>
      <c r="O116" s="2" t="s">
        <v>109</v>
      </c>
      <c r="Q116" s="2" t="s">
        <v>109</v>
      </c>
      <c r="R116" s="2" t="s">
        <v>109</v>
      </c>
      <c r="S116" s="2" t="s">
        <v>109</v>
      </c>
      <c r="T116" s="2" t="s">
        <v>109</v>
      </c>
      <c r="U116" s="2" t="s">
        <v>116</v>
      </c>
      <c r="V116" s="2" t="s">
        <v>3022</v>
      </c>
      <c r="W116" s="2" t="b">
        <v>0</v>
      </c>
      <c r="X116" s="2" t="s">
        <v>109</v>
      </c>
      <c r="Y116" s="2" t="s">
        <v>220</v>
      </c>
      <c r="AA116" s="2" t="s">
        <v>118</v>
      </c>
      <c r="AB116" s="2" t="s">
        <v>118</v>
      </c>
      <c r="AC116" s="2" t="s">
        <v>304</v>
      </c>
      <c r="AD116" s="2" t="s">
        <v>109</v>
      </c>
      <c r="AE116" s="2">
        <v>4.3</v>
      </c>
      <c r="AF116" s="2" t="s">
        <v>3030</v>
      </c>
      <c r="AG116" s="3" t="s">
        <v>3462</v>
      </c>
      <c r="AH116" s="3" t="s">
        <v>3463</v>
      </c>
      <c r="AI116" s="2">
        <v>116</v>
      </c>
      <c r="AJ116" s="2" t="s">
        <v>3464</v>
      </c>
      <c r="AK116" s="2" t="s">
        <v>121</v>
      </c>
      <c r="AL116" s="2" t="s">
        <v>3027</v>
      </c>
      <c r="AM116" s="68" t="s">
        <v>3465</v>
      </c>
      <c r="AN116" s="2" t="s">
        <v>122</v>
      </c>
      <c r="AO116" s="2" t="s">
        <v>109</v>
      </c>
      <c r="AP116" s="109" t="s">
        <v>109</v>
      </c>
      <c r="AQ116" s="2" t="b">
        <v>0</v>
      </c>
      <c r="AR116" s="2" t="s">
        <v>109</v>
      </c>
      <c r="AS116" s="2" t="s">
        <v>109</v>
      </c>
      <c r="AT116" s="2" t="s">
        <v>118</v>
      </c>
      <c r="AU116" s="2" t="b">
        <v>0</v>
      </c>
      <c r="AV116" s="2" t="s">
        <v>109</v>
      </c>
      <c r="AW116" s="2" t="s">
        <v>118</v>
      </c>
      <c r="AY116" s="2" t="s">
        <v>109</v>
      </c>
      <c r="AZ116" s="2" t="s">
        <v>109</v>
      </c>
      <c r="BA116" s="2" t="s">
        <v>118</v>
      </c>
      <c r="BB116" s="2" t="s">
        <v>118</v>
      </c>
      <c r="BC116" s="2" t="s">
        <v>109</v>
      </c>
      <c r="BD116" s="68" t="s">
        <v>109</v>
      </c>
      <c r="BE116" s="7" t="s">
        <v>109</v>
      </c>
      <c r="BF116" s="2" t="s">
        <v>109</v>
      </c>
      <c r="BG116" s="2" t="s">
        <v>126</v>
      </c>
      <c r="BH116" s="2" t="s">
        <v>109</v>
      </c>
      <c r="BI116" s="68" t="s">
        <v>109</v>
      </c>
      <c r="BJ116" s="68">
        <v>44926</v>
      </c>
      <c r="BK116" s="68" t="s">
        <v>109</v>
      </c>
      <c r="BL116" s="98" t="s">
        <v>109</v>
      </c>
      <c r="BM116" s="2" t="s">
        <v>109</v>
      </c>
      <c r="BN116" s="2" t="b">
        <v>1</v>
      </c>
      <c r="BO116" s="85" t="s">
        <v>118</v>
      </c>
      <c r="BP116" s="2" t="s">
        <v>128</v>
      </c>
      <c r="CF116" s="2" t="s">
        <v>129</v>
      </c>
      <c r="CS116" s="142"/>
      <c r="CU116" s="132" t="s">
        <v>3060</v>
      </c>
      <c r="CW116" s="2" t="s">
        <v>3029</v>
      </c>
      <c r="CX116" s="41"/>
    </row>
    <row r="117" spans="1:102" ht="53.4" x14ac:dyDescent="0.3">
      <c r="A117" s="4">
        <v>124</v>
      </c>
      <c r="B117" s="223" t="s">
        <v>971</v>
      </c>
      <c r="C117" s="58">
        <v>32.717531999999999</v>
      </c>
      <c r="D117" s="58">
        <v>-115.715737</v>
      </c>
      <c r="E117" s="4" t="s">
        <v>972</v>
      </c>
      <c r="F117" s="46" t="s">
        <v>973</v>
      </c>
      <c r="G117" s="4" t="s">
        <v>166</v>
      </c>
      <c r="H117" s="4" t="s">
        <v>113</v>
      </c>
      <c r="I117" s="64" t="s">
        <v>112</v>
      </c>
      <c r="J117" s="4" t="s">
        <v>109</v>
      </c>
      <c r="K117" s="4" t="s">
        <v>114</v>
      </c>
      <c r="L117" s="4" t="s">
        <v>393</v>
      </c>
      <c r="M117" s="4" t="s">
        <v>109</v>
      </c>
      <c r="N117" s="4" t="s">
        <v>109</v>
      </c>
      <c r="O117" s="75">
        <v>45595</v>
      </c>
      <c r="Q117" s="4" t="s">
        <v>109</v>
      </c>
      <c r="R117" s="4" t="s">
        <v>109</v>
      </c>
      <c r="S117" s="4" t="s">
        <v>109</v>
      </c>
      <c r="T117" s="4" t="s">
        <v>109</v>
      </c>
      <c r="U117" s="4" t="s">
        <v>116</v>
      </c>
      <c r="V117" s="4" t="s">
        <v>3022</v>
      </c>
      <c r="W117" s="4" t="b">
        <v>0</v>
      </c>
      <c r="X117" s="4" t="s">
        <v>109</v>
      </c>
      <c r="Y117" s="4" t="s">
        <v>220</v>
      </c>
      <c r="AA117" s="4" t="s">
        <v>118</v>
      </c>
      <c r="AB117" s="4" t="s">
        <v>118</v>
      </c>
      <c r="AC117" s="4" t="s">
        <v>382</v>
      </c>
      <c r="AD117" s="4" t="s">
        <v>109</v>
      </c>
      <c r="AE117" s="4">
        <v>4.3</v>
      </c>
      <c r="AF117" s="4" t="s">
        <v>3030</v>
      </c>
      <c r="AG117" s="5" t="s">
        <v>3462</v>
      </c>
      <c r="AH117" s="5" t="s">
        <v>3466</v>
      </c>
      <c r="AI117" s="4">
        <v>1</v>
      </c>
      <c r="AJ117" s="4" t="s">
        <v>3464</v>
      </c>
      <c r="AK117" s="4" t="s">
        <v>121</v>
      </c>
      <c r="AL117" s="4" t="s">
        <v>3027</v>
      </c>
      <c r="AM117" s="69">
        <v>41743</v>
      </c>
      <c r="AN117" s="4" t="s">
        <v>122</v>
      </c>
      <c r="AO117" s="4" t="s">
        <v>109</v>
      </c>
      <c r="AP117" s="217" t="s">
        <v>109</v>
      </c>
      <c r="AQ117" s="4" t="b">
        <v>0</v>
      </c>
      <c r="AR117" s="4" t="s">
        <v>109</v>
      </c>
      <c r="AS117" s="4" t="s">
        <v>109</v>
      </c>
      <c r="AT117" s="4" t="s">
        <v>118</v>
      </c>
      <c r="AU117" s="4" t="b">
        <v>0</v>
      </c>
      <c r="AV117" s="4" t="s">
        <v>109</v>
      </c>
      <c r="AW117" s="4" t="s">
        <v>118</v>
      </c>
      <c r="AY117" s="4" t="s">
        <v>109</v>
      </c>
      <c r="AZ117" s="4" t="s">
        <v>109</v>
      </c>
      <c r="BA117" s="4" t="s">
        <v>118</v>
      </c>
      <c r="BB117" s="4" t="s">
        <v>118</v>
      </c>
      <c r="BC117" s="4" t="s">
        <v>109</v>
      </c>
      <c r="BD117" s="69" t="s">
        <v>109</v>
      </c>
      <c r="BE117" s="6" t="s">
        <v>109</v>
      </c>
      <c r="BF117" s="4" t="s">
        <v>109</v>
      </c>
      <c r="BG117" s="4" t="s">
        <v>126</v>
      </c>
      <c r="BH117" s="4" t="s">
        <v>109</v>
      </c>
      <c r="BI117" s="75">
        <v>44196</v>
      </c>
      <c r="BJ117" s="69">
        <v>42004</v>
      </c>
      <c r="BK117" s="69">
        <v>46022</v>
      </c>
      <c r="BL117" s="97" t="s">
        <v>246</v>
      </c>
      <c r="BM117" s="4" t="s">
        <v>109</v>
      </c>
      <c r="BN117" s="4" t="b">
        <v>1</v>
      </c>
      <c r="BO117" s="130" t="s">
        <v>118</v>
      </c>
      <c r="BP117" s="4" t="s">
        <v>128</v>
      </c>
      <c r="CF117" s="4">
        <v>2025</v>
      </c>
      <c r="CS117" s="221" t="s">
        <v>3467</v>
      </c>
      <c r="CU117" s="216" t="s">
        <v>3028</v>
      </c>
      <c r="CW117" s="4" t="s">
        <v>3149</v>
      </c>
      <c r="CX117" s="40"/>
    </row>
    <row r="118" spans="1:102" x14ac:dyDescent="0.3">
      <c r="A118" s="2">
        <v>125</v>
      </c>
      <c r="B118" s="224" t="s">
        <v>975</v>
      </c>
      <c r="C118" s="60">
        <v>32.917546999999999</v>
      </c>
      <c r="D118" s="2">
        <v>-117.21872500000001</v>
      </c>
      <c r="E118" s="2" t="s">
        <v>191</v>
      </c>
      <c r="F118" s="47" t="s">
        <v>973</v>
      </c>
      <c r="G118" s="2" t="s">
        <v>166</v>
      </c>
      <c r="H118" s="2" t="s">
        <v>113</v>
      </c>
      <c r="I118" s="67" t="s">
        <v>112</v>
      </c>
      <c r="J118" s="2" t="s">
        <v>109</v>
      </c>
      <c r="K118" s="2" t="s">
        <v>114</v>
      </c>
      <c r="L118" s="2" t="s">
        <v>393</v>
      </c>
      <c r="M118" s="2" t="s">
        <v>109</v>
      </c>
      <c r="N118" s="2" t="s">
        <v>109</v>
      </c>
      <c r="O118" s="76">
        <v>45574</v>
      </c>
      <c r="Q118" s="2" t="s">
        <v>109</v>
      </c>
      <c r="R118" s="2" t="s">
        <v>109</v>
      </c>
      <c r="S118" s="2" t="s">
        <v>109</v>
      </c>
      <c r="T118" s="2" t="s">
        <v>109</v>
      </c>
      <c r="U118" s="2"/>
      <c r="V118" s="2" t="s">
        <v>3022</v>
      </c>
      <c r="W118" s="2" t="b">
        <v>0</v>
      </c>
      <c r="X118" s="2" t="s">
        <v>109</v>
      </c>
      <c r="Y118" s="2" t="s">
        <v>220</v>
      </c>
      <c r="AA118" s="2" t="s">
        <v>118</v>
      </c>
      <c r="AB118" s="2" t="s">
        <v>118</v>
      </c>
      <c r="AC118" s="2" t="s">
        <v>976</v>
      </c>
      <c r="AD118" s="2" t="s">
        <v>109</v>
      </c>
      <c r="AE118" s="2">
        <v>4.3</v>
      </c>
      <c r="AF118" s="2" t="s">
        <v>3030</v>
      </c>
      <c r="AG118" s="3" t="s">
        <v>3462</v>
      </c>
      <c r="AH118" s="3" t="s">
        <v>3468</v>
      </c>
      <c r="AI118" s="2">
        <v>1</v>
      </c>
      <c r="AJ118" s="2" t="s">
        <v>3464</v>
      </c>
      <c r="AK118" s="2" t="s">
        <v>121</v>
      </c>
      <c r="AL118" s="2" t="s">
        <v>3027</v>
      </c>
      <c r="AM118" s="76">
        <v>41772</v>
      </c>
      <c r="AN118" s="2" t="s">
        <v>122</v>
      </c>
      <c r="AO118" s="2" t="s">
        <v>109</v>
      </c>
      <c r="AP118" s="109" t="s">
        <v>109</v>
      </c>
      <c r="AQ118" s="2" t="b">
        <v>0</v>
      </c>
      <c r="AR118" s="2" t="s">
        <v>109</v>
      </c>
      <c r="AS118" s="2" t="s">
        <v>109</v>
      </c>
      <c r="AT118" s="2" t="s">
        <v>118</v>
      </c>
      <c r="AU118" s="2" t="b">
        <v>0</v>
      </c>
      <c r="AV118" s="2" t="s">
        <v>109</v>
      </c>
      <c r="AW118" s="2" t="s">
        <v>118</v>
      </c>
      <c r="AY118" s="2" t="s">
        <v>109</v>
      </c>
      <c r="AZ118" s="2" t="s">
        <v>109</v>
      </c>
      <c r="BA118" s="2" t="s">
        <v>118</v>
      </c>
      <c r="BB118" s="2" t="s">
        <v>118</v>
      </c>
      <c r="BC118" s="2" t="s">
        <v>109</v>
      </c>
      <c r="BD118" s="68" t="s">
        <v>109</v>
      </c>
      <c r="BE118" s="7" t="s">
        <v>109</v>
      </c>
      <c r="BF118" s="2" t="s">
        <v>109</v>
      </c>
      <c r="BG118" s="2" t="s">
        <v>126</v>
      </c>
      <c r="BH118" s="2" t="s">
        <v>109</v>
      </c>
      <c r="BI118" s="76">
        <v>43861</v>
      </c>
      <c r="BJ118" s="68">
        <v>44767</v>
      </c>
      <c r="BK118" s="68">
        <v>44767</v>
      </c>
      <c r="BL118" s="98" t="s">
        <v>109</v>
      </c>
      <c r="BM118" s="2" t="s">
        <v>109</v>
      </c>
      <c r="BN118" s="2" t="b">
        <v>0</v>
      </c>
      <c r="BO118" s="85" t="s">
        <v>118</v>
      </c>
      <c r="BP118" s="2" t="s">
        <v>128</v>
      </c>
      <c r="CF118" s="2">
        <v>2022</v>
      </c>
      <c r="CS118" s="142"/>
      <c r="CU118" s="132" t="s">
        <v>3028</v>
      </c>
      <c r="CW118" s="2" t="s">
        <v>3119</v>
      </c>
      <c r="CX118" s="38"/>
    </row>
    <row r="119" spans="1:102" x14ac:dyDescent="0.3">
      <c r="A119" s="4">
        <v>126</v>
      </c>
      <c r="B119" s="223" t="s">
        <v>979</v>
      </c>
      <c r="C119" s="4" t="s">
        <v>109</v>
      </c>
      <c r="D119" s="6" t="s">
        <v>109</v>
      </c>
      <c r="E119" s="6" t="s">
        <v>109</v>
      </c>
      <c r="F119" s="46" t="s">
        <v>973</v>
      </c>
      <c r="G119" s="4" t="s">
        <v>166</v>
      </c>
      <c r="H119" s="4" t="s">
        <v>113</v>
      </c>
      <c r="I119" s="64" t="s">
        <v>112</v>
      </c>
      <c r="J119" s="4" t="s">
        <v>109</v>
      </c>
      <c r="K119" s="4" t="s">
        <v>114</v>
      </c>
      <c r="L119" s="4" t="s">
        <v>393</v>
      </c>
      <c r="M119" s="4" t="s">
        <v>109</v>
      </c>
      <c r="N119" s="4" t="s">
        <v>109</v>
      </c>
      <c r="O119" s="64" t="s">
        <v>109</v>
      </c>
      <c r="Q119" s="4" t="s">
        <v>109</v>
      </c>
      <c r="R119" s="4" t="s">
        <v>109</v>
      </c>
      <c r="S119" s="4" t="s">
        <v>109</v>
      </c>
      <c r="T119" s="4" t="s">
        <v>109</v>
      </c>
      <c r="U119" s="4"/>
      <c r="V119" s="4" t="s">
        <v>3022</v>
      </c>
      <c r="W119" s="4" t="b">
        <v>0</v>
      </c>
      <c r="X119" s="4" t="s">
        <v>109</v>
      </c>
      <c r="Y119" s="4" t="s">
        <v>220</v>
      </c>
      <c r="AA119" s="4" t="s">
        <v>118</v>
      </c>
      <c r="AB119" s="4" t="s">
        <v>118</v>
      </c>
      <c r="AC119" s="4" t="s">
        <v>109</v>
      </c>
      <c r="AD119" s="4" t="s">
        <v>109</v>
      </c>
      <c r="AE119" s="4">
        <v>4.3</v>
      </c>
      <c r="AF119" s="4" t="s">
        <v>3030</v>
      </c>
      <c r="AG119" s="5" t="s">
        <v>3462</v>
      </c>
      <c r="AH119" s="5" t="s">
        <v>3469</v>
      </c>
      <c r="AI119" s="4">
        <v>1</v>
      </c>
      <c r="AJ119" s="4" t="s">
        <v>3464</v>
      </c>
      <c r="AK119" s="4" t="s">
        <v>121</v>
      </c>
      <c r="AL119" s="4" t="s">
        <v>3027</v>
      </c>
      <c r="AM119" s="69">
        <v>43799</v>
      </c>
      <c r="AN119" s="4" t="s">
        <v>122</v>
      </c>
      <c r="AO119" s="4" t="s">
        <v>109</v>
      </c>
      <c r="AP119" s="217" t="s">
        <v>109</v>
      </c>
      <c r="AQ119" s="4" t="b">
        <v>0</v>
      </c>
      <c r="AR119" s="4" t="s">
        <v>109</v>
      </c>
      <c r="AS119" s="4" t="s">
        <v>109</v>
      </c>
      <c r="AT119" s="4" t="s">
        <v>118</v>
      </c>
      <c r="AU119" s="4" t="b">
        <v>0</v>
      </c>
      <c r="AV119" s="4" t="s">
        <v>109</v>
      </c>
      <c r="AW119" s="4" t="s">
        <v>118</v>
      </c>
      <c r="AY119" s="4" t="s">
        <v>109</v>
      </c>
      <c r="AZ119" s="4" t="s">
        <v>109</v>
      </c>
      <c r="BA119" s="4" t="s">
        <v>118</v>
      </c>
      <c r="BB119" s="4" t="s">
        <v>118</v>
      </c>
      <c r="BC119" s="4" t="s">
        <v>109</v>
      </c>
      <c r="BD119" s="69" t="s">
        <v>109</v>
      </c>
      <c r="BE119" s="6" t="s">
        <v>109</v>
      </c>
      <c r="BF119" s="4" t="s">
        <v>109</v>
      </c>
      <c r="BG119" s="4" t="s">
        <v>980</v>
      </c>
      <c r="BH119" s="4" t="s">
        <v>109</v>
      </c>
      <c r="BI119" s="69" t="s">
        <v>109</v>
      </c>
      <c r="BJ119" s="69">
        <v>44926</v>
      </c>
      <c r="BK119" s="69" t="s">
        <v>109</v>
      </c>
      <c r="BL119" s="97" t="s">
        <v>109</v>
      </c>
      <c r="BM119" s="4" t="s">
        <v>109</v>
      </c>
      <c r="BN119" s="4" t="b">
        <v>1</v>
      </c>
      <c r="BO119" s="130" t="s">
        <v>118</v>
      </c>
      <c r="BP119" s="4" t="s">
        <v>128</v>
      </c>
      <c r="CF119" s="4">
        <v>2024</v>
      </c>
      <c r="CS119" s="143"/>
      <c r="CU119" s="216" t="s">
        <v>3028</v>
      </c>
      <c r="CW119" s="4" t="s">
        <v>3029</v>
      </c>
      <c r="CX119" s="39"/>
    </row>
    <row r="120" spans="1:102" x14ac:dyDescent="0.3">
      <c r="A120" s="2">
        <v>127</v>
      </c>
      <c r="B120" s="109" t="s">
        <v>3470</v>
      </c>
      <c r="C120" s="55"/>
      <c r="D120" s="2"/>
      <c r="E120" s="2"/>
      <c r="F120" s="47"/>
      <c r="G120" s="67"/>
      <c r="H120" s="67"/>
      <c r="I120" s="67"/>
      <c r="J120" s="67"/>
      <c r="K120" s="67"/>
      <c r="L120" s="67"/>
      <c r="M120" s="67"/>
      <c r="N120" s="67"/>
      <c r="O120" s="67"/>
      <c r="Q120" s="67"/>
      <c r="R120" s="67"/>
      <c r="S120" s="67"/>
      <c r="T120" s="67"/>
      <c r="U120" s="86"/>
      <c r="V120" s="2"/>
      <c r="W120" s="2"/>
      <c r="X120" s="2"/>
      <c r="Y120" s="2" t="s">
        <v>3471</v>
      </c>
      <c r="AA120" s="2"/>
      <c r="AB120" s="2"/>
      <c r="AC120" s="2"/>
      <c r="AD120" s="90"/>
      <c r="AE120" s="2"/>
      <c r="AF120" s="2" t="s">
        <v>3051</v>
      </c>
      <c r="AG120" s="105" t="s">
        <v>3462</v>
      </c>
      <c r="AH120" s="3" t="s">
        <v>3472</v>
      </c>
      <c r="AI120" s="2"/>
      <c r="AJ120" s="2" t="s">
        <v>3464</v>
      </c>
      <c r="AK120" s="2"/>
      <c r="AL120" s="2" t="s">
        <v>3053</v>
      </c>
      <c r="AM120" s="68"/>
      <c r="AN120" s="90"/>
      <c r="AO120" s="2"/>
      <c r="AP120" s="109"/>
      <c r="AQ120" s="2"/>
      <c r="AR120" s="2"/>
      <c r="AS120" s="2"/>
      <c r="AT120" s="2"/>
      <c r="AU120" s="90"/>
      <c r="AV120" s="2"/>
      <c r="AW120" s="2"/>
      <c r="AY120" s="2"/>
      <c r="AZ120" s="2"/>
      <c r="BA120" s="2"/>
      <c r="BB120" s="2"/>
      <c r="BC120" s="2"/>
      <c r="BD120" s="2"/>
      <c r="BE120" s="2"/>
      <c r="BF120" s="2"/>
      <c r="BG120" s="2"/>
      <c r="BH120" s="2"/>
      <c r="BI120" s="68"/>
      <c r="BJ120" s="68"/>
      <c r="BK120" s="68"/>
      <c r="BL120" s="98"/>
      <c r="BM120" s="2"/>
      <c r="BN120" s="2"/>
      <c r="BO120" s="90"/>
      <c r="BP120" s="2"/>
      <c r="CF120" s="2"/>
      <c r="CS120" s="146"/>
      <c r="CU120" s="132" t="s">
        <v>3028</v>
      </c>
      <c r="CW120" s="2" t="s">
        <v>3473</v>
      </c>
      <c r="CX120" s="38"/>
    </row>
    <row r="121" spans="1:102" x14ac:dyDescent="0.3">
      <c r="A121" s="4">
        <v>130</v>
      </c>
      <c r="B121" s="217" t="s">
        <v>3474</v>
      </c>
      <c r="C121" s="56"/>
      <c r="D121" s="4"/>
      <c r="E121" s="4"/>
      <c r="F121" s="46"/>
      <c r="G121" s="64"/>
      <c r="H121" s="64"/>
      <c r="I121" s="64"/>
      <c r="J121" s="64"/>
      <c r="K121" s="64"/>
      <c r="L121" s="64"/>
      <c r="M121" s="64"/>
      <c r="N121" s="64"/>
      <c r="O121" s="64"/>
      <c r="Q121" s="64"/>
      <c r="R121" s="64"/>
      <c r="S121" s="64"/>
      <c r="T121" s="64"/>
      <c r="U121" s="87"/>
      <c r="V121" s="4"/>
      <c r="W121" s="4"/>
      <c r="X121" s="4"/>
      <c r="Y121" s="4" t="s">
        <v>3471</v>
      </c>
      <c r="AA121" s="4"/>
      <c r="AB121" s="4"/>
      <c r="AC121" s="4"/>
      <c r="AD121" s="91"/>
      <c r="AE121" s="4"/>
      <c r="AF121" s="4" t="s">
        <v>3051</v>
      </c>
      <c r="AG121" s="105" t="s">
        <v>3462</v>
      </c>
      <c r="AH121" s="5" t="s">
        <v>3475</v>
      </c>
      <c r="AI121" s="4"/>
      <c r="AJ121" s="4" t="s">
        <v>3464</v>
      </c>
      <c r="AK121" s="4"/>
      <c r="AL121" s="4" t="s">
        <v>3053</v>
      </c>
      <c r="AM121" s="69"/>
      <c r="AN121" s="91"/>
      <c r="AO121" s="4"/>
      <c r="AP121" s="217"/>
      <c r="AQ121" s="4"/>
      <c r="AR121" s="4"/>
      <c r="AS121" s="4"/>
      <c r="AT121" s="4"/>
      <c r="AU121" s="91"/>
      <c r="AV121" s="4"/>
      <c r="AW121" s="4"/>
      <c r="AY121" s="4"/>
      <c r="AZ121" s="4"/>
      <c r="BA121" s="4"/>
      <c r="BB121" s="4"/>
      <c r="BC121" s="4"/>
      <c r="BD121" s="4"/>
      <c r="BE121" s="4"/>
      <c r="BF121" s="4"/>
      <c r="BG121" s="4"/>
      <c r="BH121" s="4"/>
      <c r="BI121" s="69"/>
      <c r="BJ121" s="69"/>
      <c r="BK121" s="69"/>
      <c r="BL121" s="97"/>
      <c r="BM121" s="4"/>
      <c r="BN121" s="4"/>
      <c r="BO121" s="91"/>
      <c r="BP121" s="4"/>
      <c r="CF121" s="4"/>
      <c r="CS121" s="147"/>
      <c r="CU121" s="216" t="s">
        <v>3028</v>
      </c>
      <c r="CW121" s="4" t="s">
        <v>3054</v>
      </c>
      <c r="CX121" s="39"/>
    </row>
    <row r="122" spans="1:102" ht="26.4" x14ac:dyDescent="0.3">
      <c r="A122" s="2">
        <v>132</v>
      </c>
      <c r="B122" s="43" t="s">
        <v>987</v>
      </c>
      <c r="C122" s="51">
        <v>32.832621000000003</v>
      </c>
      <c r="D122" s="51">
        <v>-117.13163299999999</v>
      </c>
      <c r="E122" s="2" t="s">
        <v>329</v>
      </c>
      <c r="F122" s="47" t="s">
        <v>988</v>
      </c>
      <c r="G122" s="2" t="s">
        <v>111</v>
      </c>
      <c r="H122" s="2" t="s">
        <v>113</v>
      </c>
      <c r="I122" s="2" t="s">
        <v>112</v>
      </c>
      <c r="J122" s="2" t="s">
        <v>109</v>
      </c>
      <c r="K122" s="2" t="s">
        <v>114</v>
      </c>
      <c r="L122" s="2" t="s">
        <v>115</v>
      </c>
      <c r="M122" s="2" t="s">
        <v>109</v>
      </c>
      <c r="N122" s="2" t="s">
        <v>109</v>
      </c>
      <c r="O122" s="68">
        <v>45547</v>
      </c>
      <c r="Q122" s="77" t="s">
        <v>989</v>
      </c>
      <c r="R122" s="2" t="s">
        <v>109</v>
      </c>
      <c r="S122" s="2" t="s">
        <v>342</v>
      </c>
      <c r="T122" s="2" t="s">
        <v>109</v>
      </c>
      <c r="U122" s="2" t="s">
        <v>116</v>
      </c>
      <c r="V122" s="2" t="s">
        <v>3022</v>
      </c>
      <c r="W122" s="2" t="b">
        <v>0</v>
      </c>
      <c r="X122" s="2" t="s">
        <v>109</v>
      </c>
      <c r="Y122" s="2" t="s">
        <v>3476</v>
      </c>
      <c r="AA122" s="51">
        <v>0.120462</v>
      </c>
      <c r="AB122" s="2" t="s">
        <v>118</v>
      </c>
      <c r="AC122" s="2">
        <v>69</v>
      </c>
      <c r="AD122" s="2" t="s">
        <v>990</v>
      </c>
      <c r="AE122" s="2">
        <v>4.0999999999999996</v>
      </c>
      <c r="AF122" s="2" t="s">
        <v>3477</v>
      </c>
      <c r="AG122" s="3" t="s">
        <v>3478</v>
      </c>
      <c r="AH122" s="3" t="s">
        <v>3479</v>
      </c>
      <c r="AI122" s="2">
        <v>1</v>
      </c>
      <c r="AJ122" s="2" t="s">
        <v>3480</v>
      </c>
      <c r="AK122" s="2" t="s">
        <v>121</v>
      </c>
      <c r="AL122" s="2" t="s">
        <v>3027</v>
      </c>
      <c r="AM122" s="68">
        <v>43212</v>
      </c>
      <c r="AN122" s="2" t="s">
        <v>122</v>
      </c>
      <c r="AO122" s="2">
        <v>2015</v>
      </c>
      <c r="AP122" s="109" t="s">
        <v>109</v>
      </c>
      <c r="AQ122" s="2" t="b">
        <v>0</v>
      </c>
      <c r="AR122" s="2" t="s">
        <v>109</v>
      </c>
      <c r="AS122" s="2" t="s">
        <v>109</v>
      </c>
      <c r="AT122" s="2" t="s">
        <v>118</v>
      </c>
      <c r="AU122" s="2" t="b">
        <v>0</v>
      </c>
      <c r="AV122" s="2" t="s">
        <v>109</v>
      </c>
      <c r="AW122" s="2" t="s">
        <v>118</v>
      </c>
      <c r="AY122" s="2" t="s">
        <v>109</v>
      </c>
      <c r="AZ122" s="2" t="s">
        <v>109</v>
      </c>
      <c r="BA122" s="2" t="s">
        <v>118</v>
      </c>
      <c r="BB122" s="2" t="s">
        <v>118</v>
      </c>
      <c r="BC122" s="2" t="s">
        <v>135</v>
      </c>
      <c r="BD122" s="2" t="s">
        <v>109</v>
      </c>
      <c r="BE122" s="2" t="s">
        <v>109</v>
      </c>
      <c r="BF122" s="2" t="s">
        <v>109</v>
      </c>
      <c r="BG122" s="2" t="s">
        <v>126</v>
      </c>
      <c r="BH122" s="2" t="s">
        <v>109</v>
      </c>
      <c r="BI122" s="68">
        <v>43045</v>
      </c>
      <c r="BJ122" s="68">
        <v>43643</v>
      </c>
      <c r="BK122" s="68">
        <v>43840</v>
      </c>
      <c r="BL122" s="98" t="s">
        <v>109</v>
      </c>
      <c r="BM122" s="2" t="s">
        <v>109</v>
      </c>
      <c r="BN122" s="98" t="b">
        <v>0</v>
      </c>
      <c r="BO122" s="85" t="s">
        <v>118</v>
      </c>
      <c r="BP122" s="2" t="s">
        <v>128</v>
      </c>
      <c r="CF122" s="2" t="s">
        <v>189</v>
      </c>
      <c r="CS122" s="142"/>
      <c r="CU122" s="132" t="s">
        <v>3028</v>
      </c>
      <c r="CW122" s="2" t="s">
        <v>3481</v>
      </c>
      <c r="CX122" s="38"/>
    </row>
    <row r="123" spans="1:102" x14ac:dyDescent="0.3">
      <c r="A123" s="4">
        <v>133</v>
      </c>
      <c r="B123" s="44" t="s">
        <v>996</v>
      </c>
      <c r="C123" s="53">
        <v>32.745595000000002</v>
      </c>
      <c r="D123" s="53">
        <v>-117.078699</v>
      </c>
      <c r="E123" s="4" t="s">
        <v>329</v>
      </c>
      <c r="F123" s="46" t="s">
        <v>997</v>
      </c>
      <c r="G123" s="4" t="s">
        <v>503</v>
      </c>
      <c r="H123" s="4" t="s">
        <v>113</v>
      </c>
      <c r="I123" s="4" t="s">
        <v>112</v>
      </c>
      <c r="J123" s="4" t="s">
        <v>109</v>
      </c>
      <c r="K123" s="4" t="s">
        <v>114</v>
      </c>
      <c r="L123" s="4" t="s">
        <v>251</v>
      </c>
      <c r="M123" s="4" t="s">
        <v>109</v>
      </c>
      <c r="N123" s="4" t="s">
        <v>109</v>
      </c>
      <c r="O123" s="69">
        <v>45574</v>
      </c>
      <c r="Q123" s="4" t="s">
        <v>998</v>
      </c>
      <c r="R123" s="4" t="s">
        <v>109</v>
      </c>
      <c r="S123" s="4" t="s">
        <v>109</v>
      </c>
      <c r="T123" s="4" t="s">
        <v>109</v>
      </c>
      <c r="U123" s="4" t="s">
        <v>116</v>
      </c>
      <c r="V123" s="4" t="s">
        <v>3022</v>
      </c>
      <c r="W123" s="4" t="b">
        <v>0</v>
      </c>
      <c r="X123" s="4" t="s">
        <v>109</v>
      </c>
      <c r="Y123" s="4" t="s">
        <v>481</v>
      </c>
      <c r="AA123" s="4" t="s">
        <v>118</v>
      </c>
      <c r="AB123" s="53">
        <v>0.38815699999999997</v>
      </c>
      <c r="AC123" s="4">
        <v>69</v>
      </c>
      <c r="AD123" s="4" t="s">
        <v>999</v>
      </c>
      <c r="AE123" s="4">
        <v>4.2</v>
      </c>
      <c r="AF123" s="4" t="s">
        <v>3482</v>
      </c>
      <c r="AG123" s="5" t="s">
        <v>3483</v>
      </c>
      <c r="AH123" s="5" t="s">
        <v>3484</v>
      </c>
      <c r="AI123" s="4">
        <v>1</v>
      </c>
      <c r="AJ123" s="4" t="s">
        <v>3485</v>
      </c>
      <c r="AK123" s="4" t="s">
        <v>121</v>
      </c>
      <c r="AL123" s="4" t="s">
        <v>3027</v>
      </c>
      <c r="AM123" s="69" t="s">
        <v>3486</v>
      </c>
      <c r="AN123" s="4" t="s">
        <v>122</v>
      </c>
      <c r="AO123" s="4">
        <v>2015</v>
      </c>
      <c r="AP123" s="217" t="s">
        <v>109</v>
      </c>
      <c r="AQ123" s="4" t="b">
        <v>0</v>
      </c>
      <c r="AR123" s="4" t="s">
        <v>109</v>
      </c>
      <c r="AS123" s="4" t="s">
        <v>109</v>
      </c>
      <c r="AT123" s="4" t="s">
        <v>118</v>
      </c>
      <c r="AU123" s="4" t="b">
        <v>0</v>
      </c>
      <c r="AV123" s="4" t="s">
        <v>109</v>
      </c>
      <c r="AW123" s="4" t="s">
        <v>118</v>
      </c>
      <c r="AY123" s="4" t="s">
        <v>124</v>
      </c>
      <c r="AZ123" s="4" t="s">
        <v>539</v>
      </c>
      <c r="BA123" s="4" t="s">
        <v>226</v>
      </c>
      <c r="BB123" s="4" t="s">
        <v>118</v>
      </c>
      <c r="BC123" s="4" t="s">
        <v>135</v>
      </c>
      <c r="BD123" s="4">
        <v>44165</v>
      </c>
      <c r="BE123" s="4" t="s">
        <v>494</v>
      </c>
      <c r="BF123" s="4">
        <v>2020</v>
      </c>
      <c r="BG123" s="4" t="s">
        <v>1146</v>
      </c>
      <c r="BH123" s="4" t="s">
        <v>109</v>
      </c>
      <c r="BI123" s="69">
        <v>43901</v>
      </c>
      <c r="BJ123" s="69">
        <v>44469</v>
      </c>
      <c r="BK123" s="69">
        <v>47270</v>
      </c>
      <c r="BL123" s="97" t="s">
        <v>109</v>
      </c>
      <c r="BM123" s="4" t="s">
        <v>109</v>
      </c>
      <c r="BN123" s="6" t="b">
        <v>1</v>
      </c>
      <c r="BO123" s="130">
        <v>543</v>
      </c>
      <c r="BP123" s="4" t="s">
        <v>128</v>
      </c>
      <c r="CF123" s="4" t="s">
        <v>263</v>
      </c>
      <c r="CS123" s="143" t="s">
        <v>1006</v>
      </c>
      <c r="CU123" s="216" t="s">
        <v>3028</v>
      </c>
      <c r="CW123" s="4" t="s">
        <v>3487</v>
      </c>
      <c r="CX123" s="39"/>
    </row>
    <row r="124" spans="1:102" x14ac:dyDescent="0.3">
      <c r="A124" s="2">
        <v>137</v>
      </c>
      <c r="B124" s="43" t="s">
        <v>1007</v>
      </c>
      <c r="C124" s="51">
        <v>32.808754999999998</v>
      </c>
      <c r="D124" s="51">
        <v>-116.683042</v>
      </c>
      <c r="E124" s="2" t="s">
        <v>191</v>
      </c>
      <c r="F124" s="47" t="s">
        <v>3488</v>
      </c>
      <c r="G124" s="2" t="s">
        <v>1009</v>
      </c>
      <c r="H124" s="2" t="s">
        <v>109</v>
      </c>
      <c r="I124" s="2" t="s">
        <v>109</v>
      </c>
      <c r="J124" s="2" t="s">
        <v>109</v>
      </c>
      <c r="K124" s="2" t="s">
        <v>192</v>
      </c>
      <c r="L124" s="2" t="s">
        <v>1010</v>
      </c>
      <c r="M124" s="2" t="s">
        <v>706</v>
      </c>
      <c r="N124" s="2" t="s">
        <v>109</v>
      </c>
      <c r="O124" s="68">
        <v>45574</v>
      </c>
      <c r="Q124" s="2" t="s">
        <v>109</v>
      </c>
      <c r="R124" s="2" t="s">
        <v>1011</v>
      </c>
      <c r="S124" s="2" t="s">
        <v>1012</v>
      </c>
      <c r="T124" s="2" t="s">
        <v>109</v>
      </c>
      <c r="U124" s="2" t="s">
        <v>310</v>
      </c>
      <c r="V124" s="2" t="s">
        <v>3022</v>
      </c>
      <c r="W124" s="2" t="b">
        <v>0</v>
      </c>
      <c r="X124" s="2" t="s">
        <v>109</v>
      </c>
      <c r="Y124" s="2" t="s">
        <v>481</v>
      </c>
      <c r="AA124" s="2" t="s">
        <v>118</v>
      </c>
      <c r="AB124" s="51">
        <v>40.941184999999997</v>
      </c>
      <c r="AC124" s="2">
        <v>230</v>
      </c>
      <c r="AD124" s="2" t="s">
        <v>1013</v>
      </c>
      <c r="AE124" s="2">
        <v>2.1</v>
      </c>
      <c r="AF124" s="2" t="s">
        <v>3489</v>
      </c>
      <c r="AG124" s="3" t="s">
        <v>3490</v>
      </c>
      <c r="AH124" s="3" t="s">
        <v>3491</v>
      </c>
      <c r="AI124" s="2">
        <v>1</v>
      </c>
      <c r="AJ124" s="2" t="s">
        <v>3492</v>
      </c>
      <c r="AK124" s="2" t="s">
        <v>121</v>
      </c>
      <c r="AL124" s="2" t="s">
        <v>3053</v>
      </c>
      <c r="AM124" s="68" t="s">
        <v>109</v>
      </c>
      <c r="AN124" s="2" t="s">
        <v>122</v>
      </c>
      <c r="AO124" s="2">
        <v>2015</v>
      </c>
      <c r="AP124" s="109">
        <v>2014</v>
      </c>
      <c r="AQ124" s="2" t="b">
        <v>1</v>
      </c>
      <c r="AR124" s="2">
        <v>2014</v>
      </c>
      <c r="AS124" s="2" t="s">
        <v>109</v>
      </c>
      <c r="AT124" s="2" t="s">
        <v>766</v>
      </c>
      <c r="AU124" s="2" t="b">
        <v>0</v>
      </c>
      <c r="AV124" s="2" t="s">
        <v>109</v>
      </c>
      <c r="AW124" s="2" t="s">
        <v>118</v>
      </c>
      <c r="AY124" s="2" t="s">
        <v>109</v>
      </c>
      <c r="AZ124" s="2" t="s">
        <v>109</v>
      </c>
      <c r="BA124" s="2" t="s">
        <v>118</v>
      </c>
      <c r="BB124" s="2" t="s">
        <v>118</v>
      </c>
      <c r="BC124" s="2" t="s">
        <v>516</v>
      </c>
      <c r="BD124" s="2" t="s">
        <v>1016</v>
      </c>
      <c r="BE124" s="2" t="s">
        <v>494</v>
      </c>
      <c r="BF124" s="2">
        <v>2018</v>
      </c>
      <c r="BG124" s="2" t="s">
        <v>126</v>
      </c>
      <c r="BH124" s="2" t="s">
        <v>109</v>
      </c>
      <c r="BI124" s="68">
        <v>43613</v>
      </c>
      <c r="BJ124" s="68">
        <v>42887</v>
      </c>
      <c r="BK124" s="68">
        <v>43886</v>
      </c>
      <c r="BL124" s="98" t="s">
        <v>699</v>
      </c>
      <c r="BM124" s="2" t="s">
        <v>893</v>
      </c>
      <c r="BN124" s="2" t="b">
        <v>1</v>
      </c>
      <c r="BO124" s="85">
        <v>798</v>
      </c>
      <c r="BP124" s="2" t="s">
        <v>128</v>
      </c>
      <c r="CF124" s="2" t="s">
        <v>1020</v>
      </c>
      <c r="CS124" s="145"/>
      <c r="CU124" s="132" t="s">
        <v>3060</v>
      </c>
      <c r="CW124" s="2" t="s">
        <v>3493</v>
      </c>
      <c r="CX124" s="38"/>
    </row>
    <row r="125" spans="1:102" x14ac:dyDescent="0.3">
      <c r="A125" s="4">
        <v>138</v>
      </c>
      <c r="B125" s="44" t="s">
        <v>1021</v>
      </c>
      <c r="C125" s="53">
        <v>33.021372999999997</v>
      </c>
      <c r="D125" s="53">
        <v>-117.13437999999999</v>
      </c>
      <c r="E125" s="4" t="s">
        <v>329</v>
      </c>
      <c r="F125" s="46" t="s">
        <v>1022</v>
      </c>
      <c r="G125" s="4" t="s">
        <v>111</v>
      </c>
      <c r="H125" s="4" t="s">
        <v>113</v>
      </c>
      <c r="I125" s="4" t="s">
        <v>109</v>
      </c>
      <c r="J125" s="4" t="s">
        <v>109</v>
      </c>
      <c r="K125" s="4" t="s">
        <v>114</v>
      </c>
      <c r="L125" s="4" t="s">
        <v>504</v>
      </c>
      <c r="M125" s="4" t="s">
        <v>505</v>
      </c>
      <c r="N125" s="4" t="s">
        <v>109</v>
      </c>
      <c r="O125" s="69">
        <v>45568</v>
      </c>
      <c r="Q125" s="4" t="s">
        <v>1023</v>
      </c>
      <c r="R125" s="4" t="s">
        <v>508</v>
      </c>
      <c r="S125" s="4" t="s">
        <v>1024</v>
      </c>
      <c r="T125" s="4" t="s">
        <v>109</v>
      </c>
      <c r="U125" s="4" t="s">
        <v>404</v>
      </c>
      <c r="V125" s="4" t="s">
        <v>3022</v>
      </c>
      <c r="W125" s="4" t="b">
        <v>0</v>
      </c>
      <c r="X125" s="4" t="s">
        <v>109</v>
      </c>
      <c r="Y125" s="4" t="s">
        <v>481</v>
      </c>
      <c r="AA125" s="4" t="s">
        <v>118</v>
      </c>
      <c r="AB125" s="53">
        <v>1.937683</v>
      </c>
      <c r="AC125" s="4">
        <v>230</v>
      </c>
      <c r="AD125" s="4" t="s">
        <v>1025</v>
      </c>
      <c r="AE125" s="4">
        <v>2.1</v>
      </c>
      <c r="AF125" s="4" t="s">
        <v>3494</v>
      </c>
      <c r="AG125" s="5" t="s">
        <v>3495</v>
      </c>
      <c r="AH125" s="5" t="s">
        <v>3496</v>
      </c>
      <c r="AI125" s="4">
        <v>1</v>
      </c>
      <c r="AJ125" s="4" t="s">
        <v>3497</v>
      </c>
      <c r="AK125" s="4" t="s">
        <v>121</v>
      </c>
      <c r="AL125" s="4" t="s">
        <v>3053</v>
      </c>
      <c r="AM125" s="69" t="s">
        <v>109</v>
      </c>
      <c r="AN125" s="4" t="s">
        <v>122</v>
      </c>
      <c r="AO125" s="4">
        <v>2015</v>
      </c>
      <c r="AP125" s="217">
        <v>2014</v>
      </c>
      <c r="AQ125" s="4" t="b">
        <v>0</v>
      </c>
      <c r="AR125" s="4">
        <v>2014</v>
      </c>
      <c r="AS125" s="4" t="s">
        <v>109</v>
      </c>
      <c r="AT125" s="4" t="s">
        <v>766</v>
      </c>
      <c r="AU125" s="4" t="b">
        <v>0</v>
      </c>
      <c r="AV125" s="4" t="s">
        <v>490</v>
      </c>
      <c r="AW125" s="69">
        <v>43546</v>
      </c>
      <c r="AY125" s="4" t="s">
        <v>491</v>
      </c>
      <c r="AZ125" s="4" t="s">
        <v>109</v>
      </c>
      <c r="BA125" s="4" t="s">
        <v>226</v>
      </c>
      <c r="BB125" s="4" t="s">
        <v>118</v>
      </c>
      <c r="BC125" s="4" t="s">
        <v>492</v>
      </c>
      <c r="BD125" s="4">
        <v>43745</v>
      </c>
      <c r="BE125" s="4" t="s">
        <v>494</v>
      </c>
      <c r="BF125" s="4">
        <v>2020</v>
      </c>
      <c r="BG125" s="4" t="s">
        <v>126</v>
      </c>
      <c r="BH125" s="4" t="s">
        <v>109</v>
      </c>
      <c r="BI125" s="69">
        <v>43938</v>
      </c>
      <c r="BJ125" s="69">
        <v>42522</v>
      </c>
      <c r="BK125" s="69">
        <v>44899</v>
      </c>
      <c r="BL125" s="97" t="s">
        <v>699</v>
      </c>
      <c r="BM125" s="4" t="s">
        <v>521</v>
      </c>
      <c r="BN125" s="4" t="b">
        <v>1</v>
      </c>
      <c r="BO125" s="130">
        <v>17140</v>
      </c>
      <c r="BP125" s="4" t="s">
        <v>128</v>
      </c>
      <c r="CF125" s="4" t="s">
        <v>460</v>
      </c>
      <c r="CS125" s="144"/>
      <c r="CU125" s="216" t="s">
        <v>3028</v>
      </c>
      <c r="CW125" s="4" t="s">
        <v>3498</v>
      </c>
      <c r="CX125" s="39"/>
    </row>
    <row r="126" spans="1:102" x14ac:dyDescent="0.3">
      <c r="A126" s="2">
        <v>143</v>
      </c>
      <c r="B126" s="43" t="s">
        <v>1033</v>
      </c>
      <c r="C126" s="51">
        <v>33.095002000000001</v>
      </c>
      <c r="D126" s="51">
        <v>-117.189497</v>
      </c>
      <c r="E126" s="2" t="s">
        <v>1034</v>
      </c>
      <c r="F126" s="47" t="s">
        <v>1035</v>
      </c>
      <c r="G126" s="2" t="s">
        <v>661</v>
      </c>
      <c r="H126" s="2" t="s">
        <v>112</v>
      </c>
      <c r="I126" s="2" t="s">
        <v>109</v>
      </c>
      <c r="J126" s="2" t="s">
        <v>109</v>
      </c>
      <c r="K126" s="2" t="s">
        <v>485</v>
      </c>
      <c r="L126" s="2" t="s">
        <v>904</v>
      </c>
      <c r="M126" s="2" t="s">
        <v>505</v>
      </c>
      <c r="N126" s="2" t="s">
        <v>109</v>
      </c>
      <c r="O126" s="68">
        <v>45418.5</v>
      </c>
      <c r="Q126" s="2">
        <v>55</v>
      </c>
      <c r="R126" s="2" t="s">
        <v>508</v>
      </c>
      <c r="S126" s="2" t="s">
        <v>1036</v>
      </c>
      <c r="T126" s="2" t="s">
        <v>109</v>
      </c>
      <c r="U126" s="2" t="s">
        <v>404</v>
      </c>
      <c r="V126" s="2" t="s">
        <v>3201</v>
      </c>
      <c r="W126" s="2" t="b">
        <v>0</v>
      </c>
      <c r="X126" s="2" t="s">
        <v>109</v>
      </c>
      <c r="Y126" s="2" t="s">
        <v>1032</v>
      </c>
      <c r="AA126" s="51">
        <v>11.903558</v>
      </c>
      <c r="AB126" s="2" t="s">
        <v>118</v>
      </c>
      <c r="AC126" s="2">
        <v>69</v>
      </c>
      <c r="AD126" s="2" t="s">
        <v>373</v>
      </c>
      <c r="AE126" s="2">
        <v>2.1</v>
      </c>
      <c r="AF126" s="2" t="s">
        <v>3499</v>
      </c>
      <c r="AG126" s="3" t="s">
        <v>3500</v>
      </c>
      <c r="AH126" s="3" t="s">
        <v>3501</v>
      </c>
      <c r="AI126" s="2">
        <v>1</v>
      </c>
      <c r="AJ126" s="2" t="s">
        <v>3502</v>
      </c>
      <c r="AK126" s="2" t="s">
        <v>121</v>
      </c>
      <c r="AL126" s="2" t="s">
        <v>3053</v>
      </c>
      <c r="AM126" s="68" t="s">
        <v>109</v>
      </c>
      <c r="AN126" s="2" t="s">
        <v>122</v>
      </c>
      <c r="AO126" s="2">
        <v>2015</v>
      </c>
      <c r="AP126" s="109">
        <v>2014</v>
      </c>
      <c r="AQ126" s="2" t="b">
        <v>0</v>
      </c>
      <c r="AR126" s="2">
        <v>2014</v>
      </c>
      <c r="AS126" s="2" t="s">
        <v>109</v>
      </c>
      <c r="AT126" s="2" t="s">
        <v>766</v>
      </c>
      <c r="AU126" s="2" t="b">
        <v>0</v>
      </c>
      <c r="AV126" s="2" t="s">
        <v>2870</v>
      </c>
      <c r="AW126" s="108">
        <v>43175</v>
      </c>
      <c r="AY126" s="2" t="s">
        <v>491</v>
      </c>
      <c r="AZ126" s="2" t="s">
        <v>109</v>
      </c>
      <c r="BA126" s="2" t="s">
        <v>109</v>
      </c>
      <c r="BB126" s="2" t="s">
        <v>118</v>
      </c>
      <c r="BC126" s="2" t="s">
        <v>492</v>
      </c>
      <c r="BD126" s="2">
        <v>43054</v>
      </c>
      <c r="BE126" s="2" t="s">
        <v>494</v>
      </c>
      <c r="BF126" s="2">
        <v>2021</v>
      </c>
      <c r="BG126" s="2" t="s">
        <v>126</v>
      </c>
      <c r="BH126" s="2" t="s">
        <v>109</v>
      </c>
      <c r="BI126" s="68">
        <v>44488</v>
      </c>
      <c r="BJ126" s="68">
        <v>42156</v>
      </c>
      <c r="BK126" s="68">
        <v>44985</v>
      </c>
      <c r="BL126" s="98" t="s">
        <v>699</v>
      </c>
      <c r="BM126" s="2" t="s">
        <v>893</v>
      </c>
      <c r="BN126" s="2" t="b">
        <v>1</v>
      </c>
      <c r="BO126" s="85" t="s">
        <v>3503</v>
      </c>
      <c r="BP126" s="2" t="s">
        <v>128</v>
      </c>
      <c r="CF126" s="2" t="s">
        <v>460</v>
      </c>
      <c r="CS126" s="145"/>
      <c r="CU126" s="132" t="s">
        <v>3187</v>
      </c>
      <c r="CW126" s="2" t="s">
        <v>3504</v>
      </c>
      <c r="CX126" s="38"/>
    </row>
    <row r="127" spans="1:102" x14ac:dyDescent="0.3">
      <c r="A127" s="4">
        <v>147</v>
      </c>
      <c r="B127" s="217" t="s">
        <v>3505</v>
      </c>
      <c r="C127" s="56"/>
      <c r="D127" s="4"/>
      <c r="E127" s="4"/>
      <c r="F127" s="46"/>
      <c r="G127" s="64"/>
      <c r="H127" s="64"/>
      <c r="I127" s="64"/>
      <c r="J127" s="64"/>
      <c r="K127" s="64"/>
      <c r="L127" s="64"/>
      <c r="M127" s="64"/>
      <c r="N127" s="64"/>
      <c r="O127" s="64"/>
      <c r="Q127" s="64"/>
      <c r="R127" s="64"/>
      <c r="S127" s="64"/>
      <c r="T127" s="64"/>
      <c r="U127" s="87"/>
      <c r="V127" s="4"/>
      <c r="W127" s="4"/>
      <c r="X127" s="4"/>
      <c r="Y127" s="4" t="s">
        <v>876</v>
      </c>
      <c r="AA127" s="4"/>
      <c r="AB127" s="4"/>
      <c r="AC127" s="4"/>
      <c r="AD127" s="91"/>
      <c r="AE127" s="4"/>
      <c r="AF127" s="4" t="s">
        <v>3051</v>
      </c>
      <c r="AG127" s="5" t="s">
        <v>3506</v>
      </c>
      <c r="AH127" s="5" t="s">
        <v>3507</v>
      </c>
      <c r="AI127" s="4"/>
      <c r="AJ127" s="4" t="s">
        <v>3508</v>
      </c>
      <c r="AK127" s="4"/>
      <c r="AL127" s="4" t="s">
        <v>3053</v>
      </c>
      <c r="AM127" s="69"/>
      <c r="AN127" s="91"/>
      <c r="AO127" s="4"/>
      <c r="AP127" s="217"/>
      <c r="AQ127" s="4"/>
      <c r="AR127" s="4"/>
      <c r="AS127" s="4"/>
      <c r="AT127" s="4"/>
      <c r="AU127" s="91"/>
      <c r="AV127" s="4"/>
      <c r="AW127" s="4"/>
      <c r="AY127" s="4"/>
      <c r="AZ127" s="4"/>
      <c r="BA127" s="4"/>
      <c r="BB127" s="4"/>
      <c r="BC127" s="4" t="s">
        <v>135</v>
      </c>
      <c r="BD127" s="4"/>
      <c r="BE127" s="4"/>
      <c r="BF127" s="4"/>
      <c r="BG127" s="4"/>
      <c r="BH127" s="4"/>
      <c r="BI127" s="69">
        <v>45231</v>
      </c>
      <c r="BJ127" s="69"/>
      <c r="BK127" s="69">
        <v>45527</v>
      </c>
      <c r="BL127" s="97"/>
      <c r="BM127" s="4"/>
      <c r="BN127" s="4"/>
      <c r="BO127" s="91"/>
      <c r="BP127" s="4"/>
      <c r="CF127" s="4"/>
      <c r="CS127" s="147"/>
      <c r="CU127" s="216" t="s">
        <v>3187</v>
      </c>
      <c r="CW127" s="4" t="s">
        <v>3509</v>
      </c>
      <c r="CX127" s="39"/>
    </row>
    <row r="128" spans="1:102" x14ac:dyDescent="0.3">
      <c r="A128" s="2">
        <v>148</v>
      </c>
      <c r="B128" s="43" t="s">
        <v>1048</v>
      </c>
      <c r="C128" s="51">
        <v>32.978738</v>
      </c>
      <c r="D128" s="51">
        <v>-117.031273</v>
      </c>
      <c r="E128" s="2" t="s">
        <v>1049</v>
      </c>
      <c r="F128" s="47" t="s">
        <v>1050</v>
      </c>
      <c r="G128" s="2" t="s">
        <v>111</v>
      </c>
      <c r="H128" s="2" t="s">
        <v>113</v>
      </c>
      <c r="I128" s="2" t="s">
        <v>275</v>
      </c>
      <c r="J128" s="2" t="s">
        <v>109</v>
      </c>
      <c r="K128" s="2" t="s">
        <v>114</v>
      </c>
      <c r="L128" s="2" t="s">
        <v>251</v>
      </c>
      <c r="M128" s="2" t="s">
        <v>109</v>
      </c>
      <c r="N128" s="2" t="s">
        <v>109</v>
      </c>
      <c r="O128" s="68">
        <v>45547</v>
      </c>
      <c r="Q128" s="77" t="s">
        <v>1051</v>
      </c>
      <c r="R128" s="2" t="s">
        <v>109</v>
      </c>
      <c r="S128" s="2" t="s">
        <v>1052</v>
      </c>
      <c r="T128" s="2" t="s">
        <v>109</v>
      </c>
      <c r="U128" s="2" t="s">
        <v>116</v>
      </c>
      <c r="V128" s="2" t="s">
        <v>3022</v>
      </c>
      <c r="W128" s="2" t="b">
        <v>0</v>
      </c>
      <c r="X128" s="2" t="s">
        <v>109</v>
      </c>
      <c r="Y128" s="2" t="s">
        <v>3510</v>
      </c>
      <c r="AA128" s="2" t="s">
        <v>118</v>
      </c>
      <c r="AB128" s="51">
        <v>0.36955922899999999</v>
      </c>
      <c r="AC128" s="2">
        <v>69</v>
      </c>
      <c r="AD128" s="2" t="s">
        <v>990</v>
      </c>
      <c r="AE128" s="2">
        <v>4.0999999999999996</v>
      </c>
      <c r="AF128" s="2" t="s">
        <v>3511</v>
      </c>
      <c r="AG128" s="3" t="s">
        <v>3512</v>
      </c>
      <c r="AH128" s="3" t="s">
        <v>3513</v>
      </c>
      <c r="AI128" s="2">
        <v>1</v>
      </c>
      <c r="AJ128" s="2" t="s">
        <v>3514</v>
      </c>
      <c r="AK128" s="2" t="s">
        <v>121</v>
      </c>
      <c r="AL128" s="2" t="s">
        <v>3027</v>
      </c>
      <c r="AM128" s="68">
        <v>43577</v>
      </c>
      <c r="AN128" s="2" t="s">
        <v>122</v>
      </c>
      <c r="AO128" s="2">
        <v>2015</v>
      </c>
      <c r="AP128" s="109" t="s">
        <v>109</v>
      </c>
      <c r="AQ128" s="2" t="b">
        <v>0</v>
      </c>
      <c r="AR128" s="2" t="s">
        <v>109</v>
      </c>
      <c r="AS128" s="2" t="s">
        <v>109</v>
      </c>
      <c r="AT128" s="2" t="s">
        <v>118</v>
      </c>
      <c r="AU128" s="2" t="b">
        <v>0</v>
      </c>
      <c r="AV128" s="2" t="s">
        <v>109</v>
      </c>
      <c r="AW128" s="2" t="s">
        <v>118</v>
      </c>
      <c r="AY128" s="2" t="s">
        <v>109</v>
      </c>
      <c r="AZ128" s="2" t="s">
        <v>109</v>
      </c>
      <c r="BA128" s="2" t="s">
        <v>118</v>
      </c>
      <c r="BB128" s="2" t="s">
        <v>118</v>
      </c>
      <c r="BC128" s="2" t="s">
        <v>135</v>
      </c>
      <c r="BD128" s="2" t="s">
        <v>109</v>
      </c>
      <c r="BE128" s="2" t="s">
        <v>109</v>
      </c>
      <c r="BF128" s="2" t="s">
        <v>109</v>
      </c>
      <c r="BG128" s="2" t="s">
        <v>126</v>
      </c>
      <c r="BH128" s="2" t="s">
        <v>109</v>
      </c>
      <c r="BI128" s="68">
        <v>42303</v>
      </c>
      <c r="BJ128" s="68">
        <v>45016</v>
      </c>
      <c r="BK128" s="68">
        <v>43410</v>
      </c>
      <c r="BL128" s="98" t="s">
        <v>109</v>
      </c>
      <c r="BM128" s="2" t="s">
        <v>109</v>
      </c>
      <c r="BN128" s="2" t="b">
        <v>1</v>
      </c>
      <c r="BO128" s="85">
        <v>1727.95874</v>
      </c>
      <c r="BP128" s="2" t="s">
        <v>128</v>
      </c>
      <c r="CF128" s="2" t="s">
        <v>528</v>
      </c>
      <c r="CS128" s="142"/>
      <c r="CU128" s="132" t="s">
        <v>3028</v>
      </c>
      <c r="CW128" s="2" t="s">
        <v>3515</v>
      </c>
      <c r="CX128" s="38"/>
    </row>
    <row r="129" spans="1:102" ht="39.6" x14ac:dyDescent="0.3">
      <c r="A129" s="4">
        <v>149</v>
      </c>
      <c r="B129" s="44" t="s">
        <v>1059</v>
      </c>
      <c r="C129" s="53">
        <v>32.866</v>
      </c>
      <c r="D129" s="53">
        <v>-116.631</v>
      </c>
      <c r="E129" s="4" t="s">
        <v>1060</v>
      </c>
      <c r="F129" s="46" t="s">
        <v>3516</v>
      </c>
      <c r="G129" s="4" t="s">
        <v>233</v>
      </c>
      <c r="H129" s="4" t="s">
        <v>112</v>
      </c>
      <c r="I129" s="4" t="s">
        <v>109</v>
      </c>
      <c r="J129" s="4" t="s">
        <v>109</v>
      </c>
      <c r="K129" s="4" t="s">
        <v>2918</v>
      </c>
      <c r="L129" s="4" t="s">
        <v>214</v>
      </c>
      <c r="M129" s="4" t="s">
        <v>109</v>
      </c>
      <c r="N129" s="4" t="s">
        <v>109</v>
      </c>
      <c r="O129" s="4" t="s">
        <v>109</v>
      </c>
      <c r="Q129" s="4">
        <v>44</v>
      </c>
      <c r="R129" s="4" t="s">
        <v>109</v>
      </c>
      <c r="S129" s="4" t="s">
        <v>109</v>
      </c>
      <c r="T129" s="4" t="s">
        <v>109</v>
      </c>
      <c r="U129" s="4" t="s">
        <v>1063</v>
      </c>
      <c r="V129" s="4" t="s">
        <v>3022</v>
      </c>
      <c r="W129" s="4" t="b">
        <v>0</v>
      </c>
      <c r="X129" s="4" t="s">
        <v>109</v>
      </c>
      <c r="Y129" s="4" t="s">
        <v>1058</v>
      </c>
      <c r="AA129" s="4" t="s">
        <v>118</v>
      </c>
      <c r="AB129" s="4" t="s">
        <v>118</v>
      </c>
      <c r="AC129" s="4" t="s">
        <v>1064</v>
      </c>
      <c r="AD129" s="4" t="s">
        <v>109</v>
      </c>
      <c r="AE129" s="4">
        <v>1.3</v>
      </c>
      <c r="AF129" s="4" t="s">
        <v>3517</v>
      </c>
      <c r="AG129" s="5" t="s">
        <v>3518</v>
      </c>
      <c r="AH129" s="5" t="s">
        <v>3519</v>
      </c>
      <c r="AI129" s="4">
        <v>1</v>
      </c>
      <c r="AJ129" s="4" t="s">
        <v>3520</v>
      </c>
      <c r="AK129" s="4" t="s">
        <v>121</v>
      </c>
      <c r="AL129" s="4" t="s">
        <v>3027</v>
      </c>
      <c r="AM129" s="69">
        <v>43857</v>
      </c>
      <c r="AN129" s="4" t="s">
        <v>122</v>
      </c>
      <c r="AO129" s="4">
        <v>2015</v>
      </c>
      <c r="AP129" s="217">
        <v>2019</v>
      </c>
      <c r="AQ129" s="4" t="b">
        <v>0</v>
      </c>
      <c r="AR129" s="4" t="s">
        <v>118</v>
      </c>
      <c r="AS129" s="4" t="s">
        <v>109</v>
      </c>
      <c r="AT129" s="4" t="s">
        <v>118</v>
      </c>
      <c r="AU129" s="4" t="b">
        <v>0</v>
      </c>
      <c r="AV129" s="4" t="s">
        <v>109</v>
      </c>
      <c r="AW129" s="4" t="s">
        <v>118</v>
      </c>
      <c r="AY129" s="4" t="s">
        <v>109</v>
      </c>
      <c r="AZ129" s="4" t="s">
        <v>109</v>
      </c>
      <c r="BA129" s="4" t="s">
        <v>118</v>
      </c>
      <c r="BB129" s="4" t="s">
        <v>118</v>
      </c>
      <c r="BC129" s="4" t="s">
        <v>135</v>
      </c>
      <c r="BD129" s="4" t="s">
        <v>109</v>
      </c>
      <c r="BE129" s="4" t="s">
        <v>109</v>
      </c>
      <c r="BF129" s="4" t="s">
        <v>109</v>
      </c>
      <c r="BG129" s="4" t="s">
        <v>126</v>
      </c>
      <c r="BH129" s="4" t="s">
        <v>109</v>
      </c>
      <c r="BI129" s="69">
        <v>43640</v>
      </c>
      <c r="BJ129" s="69">
        <v>44561</v>
      </c>
      <c r="BK129" s="69">
        <v>44193</v>
      </c>
      <c r="BL129" s="97" t="s">
        <v>521</v>
      </c>
      <c r="BM129" s="4" t="s">
        <v>109</v>
      </c>
      <c r="BN129" s="97" t="b">
        <v>0</v>
      </c>
      <c r="BO129" s="130">
        <v>499</v>
      </c>
      <c r="BP129" s="4" t="s">
        <v>128</v>
      </c>
      <c r="CF129" s="4" t="s">
        <v>157</v>
      </c>
      <c r="CS129" s="143" t="s">
        <v>3521</v>
      </c>
      <c r="CU129" s="216" t="s">
        <v>3187</v>
      </c>
      <c r="CW129" s="4" t="s">
        <v>3029</v>
      </c>
      <c r="CX129" s="39"/>
    </row>
    <row r="130" spans="1:102" ht="39.6" x14ac:dyDescent="0.3">
      <c r="A130" s="2">
        <v>150</v>
      </c>
      <c r="B130" s="43" t="s">
        <v>1071</v>
      </c>
      <c r="C130" s="52" t="s">
        <v>109</v>
      </c>
      <c r="D130" s="2" t="s">
        <v>109</v>
      </c>
      <c r="E130" s="7" t="s">
        <v>109</v>
      </c>
      <c r="F130" s="47" t="s">
        <v>1072</v>
      </c>
      <c r="G130" s="2" t="s">
        <v>133</v>
      </c>
      <c r="H130" s="2" t="s">
        <v>112</v>
      </c>
      <c r="I130" s="2" t="s">
        <v>109</v>
      </c>
      <c r="J130" s="2" t="s">
        <v>109</v>
      </c>
      <c r="K130" s="2" t="s">
        <v>1073</v>
      </c>
      <c r="L130" s="2" t="s">
        <v>1074</v>
      </c>
      <c r="M130" s="2" t="s">
        <v>194</v>
      </c>
      <c r="N130" s="77" t="s">
        <v>246</v>
      </c>
      <c r="O130" s="2" t="s">
        <v>109</v>
      </c>
      <c r="Q130" s="7" t="s">
        <v>109</v>
      </c>
      <c r="R130" s="77" t="s">
        <v>109</v>
      </c>
      <c r="S130" s="77" t="s">
        <v>109</v>
      </c>
      <c r="T130" s="77" t="s">
        <v>109</v>
      </c>
      <c r="U130" s="2" t="s">
        <v>116</v>
      </c>
      <c r="V130" s="2" t="s">
        <v>3022</v>
      </c>
      <c r="W130" s="2" t="b">
        <v>0</v>
      </c>
      <c r="X130" s="2" t="s">
        <v>109</v>
      </c>
      <c r="Y130" s="2" t="s">
        <v>1032</v>
      </c>
      <c r="AA130" s="2" t="s">
        <v>118</v>
      </c>
      <c r="AB130" s="2" t="s">
        <v>118</v>
      </c>
      <c r="AC130" s="2" t="s">
        <v>119</v>
      </c>
      <c r="AD130" s="2" t="s">
        <v>1075</v>
      </c>
      <c r="AE130" s="2">
        <v>1.2</v>
      </c>
      <c r="AF130" s="2" t="s">
        <v>3023</v>
      </c>
      <c r="AG130" s="3" t="s">
        <v>3522</v>
      </c>
      <c r="AH130" s="3" t="s">
        <v>3025</v>
      </c>
      <c r="AI130" s="2">
        <v>48</v>
      </c>
      <c r="AJ130" s="2" t="s">
        <v>3523</v>
      </c>
      <c r="AK130" s="2" t="s">
        <v>121</v>
      </c>
      <c r="AL130" s="2" t="s">
        <v>3027</v>
      </c>
      <c r="AM130" s="68">
        <v>45258</v>
      </c>
      <c r="AN130" s="2" t="s">
        <v>122</v>
      </c>
      <c r="AO130" s="2" t="s">
        <v>109</v>
      </c>
      <c r="AP130" s="109" t="s">
        <v>109</v>
      </c>
      <c r="AQ130" s="2" t="b">
        <v>0</v>
      </c>
      <c r="AR130" s="2" t="s">
        <v>109</v>
      </c>
      <c r="AS130" s="2" t="s">
        <v>109</v>
      </c>
      <c r="AT130" s="2" t="s">
        <v>118</v>
      </c>
      <c r="AU130" s="2" t="b">
        <v>0</v>
      </c>
      <c r="AV130" s="2" t="s">
        <v>109</v>
      </c>
      <c r="AW130" s="2" t="s">
        <v>118</v>
      </c>
      <c r="AY130" s="2" t="s">
        <v>109</v>
      </c>
      <c r="AZ130" s="2" t="s">
        <v>109</v>
      </c>
      <c r="BA130" s="2" t="s">
        <v>118</v>
      </c>
      <c r="BB130" s="2" t="s">
        <v>118</v>
      </c>
      <c r="BC130" s="2" t="s">
        <v>109</v>
      </c>
      <c r="BD130" s="68" t="s">
        <v>109</v>
      </c>
      <c r="BE130" s="7" t="s">
        <v>109</v>
      </c>
      <c r="BF130" s="2" t="s">
        <v>109</v>
      </c>
      <c r="BG130" s="2" t="s">
        <v>126</v>
      </c>
      <c r="BH130" s="2" t="s">
        <v>109</v>
      </c>
      <c r="BI130" s="68" t="s">
        <v>109</v>
      </c>
      <c r="BJ130" s="68">
        <v>45657</v>
      </c>
      <c r="BK130" s="68" t="s">
        <v>109</v>
      </c>
      <c r="BL130" s="98" t="s">
        <v>109</v>
      </c>
      <c r="BM130" s="2" t="s">
        <v>109</v>
      </c>
      <c r="BN130" s="2" t="b">
        <v>1</v>
      </c>
      <c r="BO130" s="85">
        <v>216954.95924</v>
      </c>
      <c r="BP130" s="2" t="s">
        <v>128</v>
      </c>
      <c r="CF130" s="2" t="s">
        <v>528</v>
      </c>
      <c r="CS130" s="142" t="s">
        <v>1077</v>
      </c>
      <c r="CU130" s="132" t="s">
        <v>3060</v>
      </c>
      <c r="CW130" s="2" t="s">
        <v>3029</v>
      </c>
      <c r="CX130" s="38"/>
    </row>
    <row r="131" spans="1:102" ht="105.6" x14ac:dyDescent="0.3">
      <c r="A131" s="4">
        <v>151</v>
      </c>
      <c r="B131" s="44" t="s">
        <v>1078</v>
      </c>
      <c r="C131" s="53">
        <v>32.917999999999999</v>
      </c>
      <c r="D131" s="53">
        <v>-117.21899999999999</v>
      </c>
      <c r="E131" s="4" t="s">
        <v>329</v>
      </c>
      <c r="F131" s="46" t="s">
        <v>1079</v>
      </c>
      <c r="G131" s="64" t="s">
        <v>1080</v>
      </c>
      <c r="H131" s="4" t="s">
        <v>112</v>
      </c>
      <c r="I131" s="4" t="s">
        <v>109</v>
      </c>
      <c r="J131" s="4" t="s">
        <v>109</v>
      </c>
      <c r="K131" s="4" t="s">
        <v>1073</v>
      </c>
      <c r="L131" s="4" t="s">
        <v>1074</v>
      </c>
      <c r="M131" s="6" t="s">
        <v>194</v>
      </c>
      <c r="N131" s="72" t="s">
        <v>246</v>
      </c>
      <c r="O131" s="69">
        <v>45574</v>
      </c>
      <c r="Q131" s="72" t="s">
        <v>109</v>
      </c>
      <c r="R131" s="72" t="s">
        <v>109</v>
      </c>
      <c r="S131" s="72" t="s">
        <v>109</v>
      </c>
      <c r="T131" s="72" t="s">
        <v>109</v>
      </c>
      <c r="U131" s="4" t="s">
        <v>116</v>
      </c>
      <c r="V131" s="4" t="s">
        <v>3022</v>
      </c>
      <c r="W131" s="4" t="b">
        <v>0</v>
      </c>
      <c r="X131" s="4" t="s">
        <v>109</v>
      </c>
      <c r="Y131" s="4" t="s">
        <v>1032</v>
      </c>
      <c r="AA131" s="4" t="s">
        <v>109</v>
      </c>
      <c r="AB131" s="4">
        <v>13.94</v>
      </c>
      <c r="AC131" s="4" t="s">
        <v>1081</v>
      </c>
      <c r="AD131" s="4" t="s">
        <v>1075</v>
      </c>
      <c r="AE131" s="4">
        <v>1.2</v>
      </c>
      <c r="AF131" s="4" t="s">
        <v>3524</v>
      </c>
      <c r="AG131" s="5" t="s">
        <v>3522</v>
      </c>
      <c r="AH131" s="5" t="s">
        <v>3525</v>
      </c>
      <c r="AI131" s="4">
        <v>1</v>
      </c>
      <c r="AJ131" s="4" t="s">
        <v>3523</v>
      </c>
      <c r="AK131" s="4" t="s">
        <v>121</v>
      </c>
      <c r="AL131" s="4" t="s">
        <v>3027</v>
      </c>
      <c r="AM131" s="69">
        <v>44768</v>
      </c>
      <c r="AN131" s="4" t="s">
        <v>122</v>
      </c>
      <c r="AO131" s="4" t="s">
        <v>109</v>
      </c>
      <c r="AP131" s="217" t="s">
        <v>109</v>
      </c>
      <c r="AQ131" s="4" t="b">
        <v>0</v>
      </c>
      <c r="AR131" s="4" t="s">
        <v>109</v>
      </c>
      <c r="AS131" s="4" t="s">
        <v>109</v>
      </c>
      <c r="AT131" s="4" t="s">
        <v>109</v>
      </c>
      <c r="AU131" s="4" t="b">
        <v>0</v>
      </c>
      <c r="AV131" s="4" t="s">
        <v>109</v>
      </c>
      <c r="AW131" s="4" t="s">
        <v>109</v>
      </c>
      <c r="AY131" s="4" t="s">
        <v>109</v>
      </c>
      <c r="AZ131" s="4" t="s">
        <v>109</v>
      </c>
      <c r="BA131" s="4" t="s">
        <v>109</v>
      </c>
      <c r="BB131" s="4" t="s">
        <v>109</v>
      </c>
      <c r="BC131" s="4" t="s">
        <v>123</v>
      </c>
      <c r="BD131" s="4" t="s">
        <v>109</v>
      </c>
      <c r="BE131" s="4" t="s">
        <v>109</v>
      </c>
      <c r="BF131" s="4" t="s">
        <v>109</v>
      </c>
      <c r="BG131" s="4" t="s">
        <v>322</v>
      </c>
      <c r="BH131" s="4" t="s">
        <v>109</v>
      </c>
      <c r="BI131" s="69">
        <v>45076</v>
      </c>
      <c r="BJ131" s="69">
        <v>45657</v>
      </c>
      <c r="BK131" s="69">
        <v>45518</v>
      </c>
      <c r="BL131" s="97" t="s">
        <v>109</v>
      </c>
      <c r="BM131" s="4" t="s">
        <v>109</v>
      </c>
      <c r="BN131" s="4" t="b">
        <v>1</v>
      </c>
      <c r="BO131" s="130" t="s">
        <v>118</v>
      </c>
      <c r="BP131" s="4" t="s">
        <v>128</v>
      </c>
      <c r="CF131" s="4" t="s">
        <v>2295</v>
      </c>
      <c r="CS131" s="150" t="s">
        <v>1085</v>
      </c>
      <c r="CU131" s="216" t="s">
        <v>3060</v>
      </c>
      <c r="CW131" s="4" t="s">
        <v>3119</v>
      </c>
      <c r="CX131" s="39"/>
    </row>
    <row r="132" spans="1:102" ht="66" x14ac:dyDescent="0.3">
      <c r="A132" s="2">
        <v>152</v>
      </c>
      <c r="B132" s="43" t="s">
        <v>1086</v>
      </c>
      <c r="C132" s="51">
        <v>32.627000000000002</v>
      </c>
      <c r="D132" s="51">
        <v>-116.119</v>
      </c>
      <c r="E132" s="2" t="s">
        <v>191</v>
      </c>
      <c r="F132" s="47" t="s">
        <v>1079</v>
      </c>
      <c r="G132" s="67" t="s">
        <v>1080</v>
      </c>
      <c r="H132" s="2" t="s">
        <v>112</v>
      </c>
      <c r="I132" s="2" t="s">
        <v>109</v>
      </c>
      <c r="J132" s="2" t="s">
        <v>109</v>
      </c>
      <c r="K132" s="2" t="s">
        <v>1073</v>
      </c>
      <c r="L132" s="2" t="s">
        <v>1074</v>
      </c>
      <c r="M132" s="7" t="s">
        <v>194</v>
      </c>
      <c r="N132" s="67" t="s">
        <v>246</v>
      </c>
      <c r="O132" s="68">
        <v>45586</v>
      </c>
      <c r="Q132" s="67" t="s">
        <v>109</v>
      </c>
      <c r="R132" s="67" t="s">
        <v>109</v>
      </c>
      <c r="S132" s="67" t="s">
        <v>109</v>
      </c>
      <c r="T132" s="67" t="s">
        <v>109</v>
      </c>
      <c r="U132" s="2" t="s">
        <v>116</v>
      </c>
      <c r="V132" s="2" t="s">
        <v>3022</v>
      </c>
      <c r="W132" s="2" t="b">
        <v>0</v>
      </c>
      <c r="X132" s="2" t="s">
        <v>109</v>
      </c>
      <c r="Y132" s="2" t="s">
        <v>1032</v>
      </c>
      <c r="AA132" s="2" t="s">
        <v>109</v>
      </c>
      <c r="AB132" s="2">
        <v>66.56</v>
      </c>
      <c r="AC132" s="2" t="s">
        <v>1087</v>
      </c>
      <c r="AD132" s="2" t="s">
        <v>1075</v>
      </c>
      <c r="AE132" s="2">
        <v>1.2</v>
      </c>
      <c r="AF132" s="2" t="s">
        <v>3526</v>
      </c>
      <c r="AG132" s="3" t="s">
        <v>3522</v>
      </c>
      <c r="AH132" s="3" t="s">
        <v>3527</v>
      </c>
      <c r="AI132" s="2">
        <v>1</v>
      </c>
      <c r="AJ132" s="2" t="s">
        <v>3523</v>
      </c>
      <c r="AK132" s="2" t="s">
        <v>121</v>
      </c>
      <c r="AL132" s="2" t="s">
        <v>3027</v>
      </c>
      <c r="AM132" s="68">
        <v>44192</v>
      </c>
      <c r="AN132" s="2" t="s">
        <v>122</v>
      </c>
      <c r="AO132" s="2" t="s">
        <v>109</v>
      </c>
      <c r="AP132" s="109" t="s">
        <v>109</v>
      </c>
      <c r="AQ132" s="2" t="b">
        <v>0</v>
      </c>
      <c r="AR132" s="2" t="s">
        <v>109</v>
      </c>
      <c r="AS132" s="2" t="s">
        <v>109</v>
      </c>
      <c r="AT132" s="2" t="s">
        <v>109</v>
      </c>
      <c r="AU132" s="2" t="b">
        <v>0</v>
      </c>
      <c r="AV132" s="2" t="s">
        <v>109</v>
      </c>
      <c r="AW132" s="2" t="s">
        <v>109</v>
      </c>
      <c r="AY132" s="2" t="s">
        <v>109</v>
      </c>
      <c r="AZ132" s="2" t="s">
        <v>109</v>
      </c>
      <c r="BA132" s="2" t="s">
        <v>109</v>
      </c>
      <c r="BB132" s="2" t="s">
        <v>109</v>
      </c>
      <c r="BC132" s="2" t="s">
        <v>135</v>
      </c>
      <c r="BD132" s="2" t="s">
        <v>109</v>
      </c>
      <c r="BE132" s="2" t="s">
        <v>109</v>
      </c>
      <c r="BF132" s="2" t="s">
        <v>109</v>
      </c>
      <c r="BG132" s="2" t="s">
        <v>126</v>
      </c>
      <c r="BH132" s="2" t="s">
        <v>109</v>
      </c>
      <c r="BI132" s="68">
        <v>44428</v>
      </c>
      <c r="BJ132" s="68">
        <v>44561</v>
      </c>
      <c r="BK132" s="68">
        <v>44887</v>
      </c>
      <c r="BL132" s="98" t="s">
        <v>109</v>
      </c>
      <c r="BM132" s="2" t="s">
        <v>109</v>
      </c>
      <c r="BN132" s="2" t="b">
        <v>1</v>
      </c>
      <c r="BO132" s="85" t="s">
        <v>118</v>
      </c>
      <c r="BP132" s="2" t="s">
        <v>128</v>
      </c>
      <c r="CF132" s="2" t="s">
        <v>270</v>
      </c>
      <c r="CS132" s="142" t="s">
        <v>1091</v>
      </c>
      <c r="CU132" s="132" t="s">
        <v>3060</v>
      </c>
      <c r="CW132" s="2" t="s">
        <v>3528</v>
      </c>
      <c r="CX132" s="38"/>
    </row>
    <row r="133" spans="1:102" ht="79.2" x14ac:dyDescent="0.3">
      <c r="A133" s="4">
        <v>153</v>
      </c>
      <c r="B133" s="44" t="s">
        <v>1092</v>
      </c>
      <c r="C133" s="53">
        <v>32.917000000000002</v>
      </c>
      <c r="D133" s="53">
        <v>-117.03100000000001</v>
      </c>
      <c r="E133" s="4" t="s">
        <v>191</v>
      </c>
      <c r="F133" s="46" t="s">
        <v>1079</v>
      </c>
      <c r="G133" s="64" t="s">
        <v>1080</v>
      </c>
      <c r="H133" s="4" t="s">
        <v>112</v>
      </c>
      <c r="I133" s="4" t="s">
        <v>109</v>
      </c>
      <c r="J133" s="4" t="s">
        <v>109</v>
      </c>
      <c r="K133" s="4" t="s">
        <v>1073</v>
      </c>
      <c r="L133" s="4" t="s">
        <v>1074</v>
      </c>
      <c r="M133" s="6" t="s">
        <v>194</v>
      </c>
      <c r="N133" s="64" t="s">
        <v>246</v>
      </c>
      <c r="O133" s="69">
        <v>45568</v>
      </c>
      <c r="Q133" s="64" t="s">
        <v>109</v>
      </c>
      <c r="R133" s="64" t="s">
        <v>109</v>
      </c>
      <c r="S133" s="64" t="s">
        <v>109</v>
      </c>
      <c r="T133" s="64" t="s">
        <v>109</v>
      </c>
      <c r="U133" s="4" t="s">
        <v>404</v>
      </c>
      <c r="V133" s="4" t="s">
        <v>3022</v>
      </c>
      <c r="W133" s="4" t="b">
        <v>0</v>
      </c>
      <c r="X133" s="4" t="s">
        <v>109</v>
      </c>
      <c r="Y133" s="4" t="s">
        <v>1032</v>
      </c>
      <c r="AA133" s="4" t="s">
        <v>109</v>
      </c>
      <c r="AB133" s="4">
        <v>10.79</v>
      </c>
      <c r="AC133" s="4" t="s">
        <v>1093</v>
      </c>
      <c r="AD133" s="4" t="s">
        <v>1075</v>
      </c>
      <c r="AE133" s="4">
        <v>1.2</v>
      </c>
      <c r="AF133" s="4" t="s">
        <v>3529</v>
      </c>
      <c r="AG133" s="5" t="s">
        <v>3522</v>
      </c>
      <c r="AH133" s="5" t="s">
        <v>3530</v>
      </c>
      <c r="AI133" s="4">
        <v>1</v>
      </c>
      <c r="AJ133" s="4" t="s">
        <v>3523</v>
      </c>
      <c r="AK133" s="4" t="s">
        <v>121</v>
      </c>
      <c r="AL133" s="4" t="s">
        <v>3027</v>
      </c>
      <c r="AM133" s="69">
        <v>44826</v>
      </c>
      <c r="AN133" s="4" t="s">
        <v>122</v>
      </c>
      <c r="AO133" s="4" t="s">
        <v>109</v>
      </c>
      <c r="AP133" s="217" t="s">
        <v>109</v>
      </c>
      <c r="AQ133" s="4" t="b">
        <v>0</v>
      </c>
      <c r="AR133" s="4" t="s">
        <v>109</v>
      </c>
      <c r="AS133" s="4" t="s">
        <v>109</v>
      </c>
      <c r="AT133" s="4" t="s">
        <v>109</v>
      </c>
      <c r="AU133" s="4" t="b">
        <v>0</v>
      </c>
      <c r="AV133" s="4" t="s">
        <v>109</v>
      </c>
      <c r="AW133" s="4" t="s">
        <v>109</v>
      </c>
      <c r="AY133" s="4" t="s">
        <v>109</v>
      </c>
      <c r="AZ133" s="4" t="s">
        <v>109</v>
      </c>
      <c r="BA133" s="4" t="s">
        <v>109</v>
      </c>
      <c r="BB133" s="4" t="s">
        <v>109</v>
      </c>
      <c r="BC133" s="4" t="s">
        <v>123</v>
      </c>
      <c r="BD133" s="4" t="s">
        <v>109</v>
      </c>
      <c r="BE133" s="4" t="s">
        <v>109</v>
      </c>
      <c r="BF133" s="4" t="s">
        <v>109</v>
      </c>
      <c r="BG133" s="4" t="s">
        <v>126</v>
      </c>
      <c r="BH133" s="4" t="s">
        <v>109</v>
      </c>
      <c r="BI133" s="69">
        <v>45184</v>
      </c>
      <c r="BJ133" s="69">
        <v>45322</v>
      </c>
      <c r="BK133" s="69">
        <v>45474</v>
      </c>
      <c r="BL133" s="97" t="s">
        <v>109</v>
      </c>
      <c r="BM133" s="4" t="s">
        <v>109</v>
      </c>
      <c r="BN133" s="4" t="b">
        <v>1</v>
      </c>
      <c r="BO133" s="130" t="s">
        <v>118</v>
      </c>
      <c r="BP133" s="4" t="s">
        <v>128</v>
      </c>
      <c r="CF133" s="4" t="s">
        <v>2295</v>
      </c>
      <c r="CS133" s="143" t="s">
        <v>1097</v>
      </c>
      <c r="CU133" s="216" t="s">
        <v>3060</v>
      </c>
      <c r="CW133" s="4" t="s">
        <v>3312</v>
      </c>
      <c r="CX133" s="39"/>
    </row>
    <row r="134" spans="1:102" ht="66" x14ac:dyDescent="0.3">
      <c r="A134" s="2">
        <v>154</v>
      </c>
      <c r="B134" s="43" t="s">
        <v>1098</v>
      </c>
      <c r="C134" s="51">
        <v>32.784999999999997</v>
      </c>
      <c r="D134" s="51">
        <v>-117.13800000000001</v>
      </c>
      <c r="E134" s="2" t="s">
        <v>329</v>
      </c>
      <c r="F134" s="47" t="s">
        <v>1079</v>
      </c>
      <c r="G134" s="67" t="s">
        <v>1080</v>
      </c>
      <c r="H134" s="2" t="s">
        <v>112</v>
      </c>
      <c r="I134" s="2" t="s">
        <v>109</v>
      </c>
      <c r="J134" s="2" t="s">
        <v>109</v>
      </c>
      <c r="K134" s="2" t="s">
        <v>1073</v>
      </c>
      <c r="L134" s="2" t="s">
        <v>1074</v>
      </c>
      <c r="M134" s="2" t="s">
        <v>194</v>
      </c>
      <c r="N134" s="2" t="s">
        <v>240</v>
      </c>
      <c r="O134" s="68">
        <v>45595</v>
      </c>
      <c r="Q134" s="2" t="s">
        <v>109</v>
      </c>
      <c r="R134" s="2" t="s">
        <v>109</v>
      </c>
      <c r="S134" s="2" t="s">
        <v>109</v>
      </c>
      <c r="T134" s="2" t="s">
        <v>109</v>
      </c>
      <c r="U134" s="2" t="s">
        <v>116</v>
      </c>
      <c r="V134" s="2" t="s">
        <v>3022</v>
      </c>
      <c r="W134" s="2" t="b">
        <v>0</v>
      </c>
      <c r="X134" s="2" t="s">
        <v>109</v>
      </c>
      <c r="Y134" s="2" t="s">
        <v>1032</v>
      </c>
      <c r="AA134" s="2" t="s">
        <v>109</v>
      </c>
      <c r="AB134" s="2">
        <v>9</v>
      </c>
      <c r="AC134" s="2" t="s">
        <v>1099</v>
      </c>
      <c r="AD134" s="2" t="s">
        <v>1075</v>
      </c>
      <c r="AE134" s="2">
        <v>1.2</v>
      </c>
      <c r="AF134" s="2" t="s">
        <v>3531</v>
      </c>
      <c r="AG134" s="3" t="s">
        <v>3522</v>
      </c>
      <c r="AH134" s="3" t="s">
        <v>3532</v>
      </c>
      <c r="AI134" s="2">
        <v>1</v>
      </c>
      <c r="AJ134" s="2" t="s">
        <v>3523</v>
      </c>
      <c r="AK134" s="2" t="s">
        <v>121</v>
      </c>
      <c r="AL134" s="2" t="s">
        <v>3027</v>
      </c>
      <c r="AM134" s="68">
        <v>44193</v>
      </c>
      <c r="AN134" s="2" t="s">
        <v>122</v>
      </c>
      <c r="AO134" s="2" t="s">
        <v>109</v>
      </c>
      <c r="AP134" s="109" t="s">
        <v>109</v>
      </c>
      <c r="AQ134" s="2" t="b">
        <v>0</v>
      </c>
      <c r="AR134" s="2" t="s">
        <v>109</v>
      </c>
      <c r="AS134" s="2" t="s">
        <v>109</v>
      </c>
      <c r="AT134" s="2" t="s">
        <v>109</v>
      </c>
      <c r="AU134" s="2" t="b">
        <v>0</v>
      </c>
      <c r="AV134" s="2" t="s">
        <v>109</v>
      </c>
      <c r="AW134" s="2" t="s">
        <v>109</v>
      </c>
      <c r="AY134" s="2" t="s">
        <v>109</v>
      </c>
      <c r="AZ134" s="2" t="s">
        <v>109</v>
      </c>
      <c r="BA134" s="2" t="s">
        <v>109</v>
      </c>
      <c r="BB134" s="2" t="s">
        <v>109</v>
      </c>
      <c r="BC134" s="2" t="s">
        <v>123</v>
      </c>
      <c r="BD134" s="2" t="s">
        <v>109</v>
      </c>
      <c r="BE134" s="2" t="s">
        <v>109</v>
      </c>
      <c r="BF134" s="2" t="s">
        <v>109</v>
      </c>
      <c r="BG134" s="2" t="s">
        <v>322</v>
      </c>
      <c r="BH134" s="2" t="s">
        <v>109</v>
      </c>
      <c r="BI134" s="68">
        <v>44795</v>
      </c>
      <c r="BJ134" s="68">
        <v>45657</v>
      </c>
      <c r="BK134" s="68">
        <v>45530</v>
      </c>
      <c r="BL134" s="98" t="s">
        <v>109</v>
      </c>
      <c r="BM134" s="2" t="s">
        <v>109</v>
      </c>
      <c r="BN134" s="7" t="b">
        <v>1</v>
      </c>
      <c r="BO134" s="85" t="s">
        <v>118</v>
      </c>
      <c r="BP134" s="2" t="s">
        <v>128</v>
      </c>
      <c r="CF134" s="2">
        <v>2025</v>
      </c>
      <c r="CS134" s="142" t="s">
        <v>1091</v>
      </c>
      <c r="CU134" s="132" t="s">
        <v>3060</v>
      </c>
      <c r="CW134" s="2" t="s">
        <v>3183</v>
      </c>
      <c r="CX134" s="38"/>
    </row>
    <row r="135" spans="1:102" ht="92.4" x14ac:dyDescent="0.3">
      <c r="A135" s="4">
        <v>155</v>
      </c>
      <c r="B135" s="44" t="s">
        <v>1103</v>
      </c>
      <c r="C135" s="57" t="s">
        <v>109</v>
      </c>
      <c r="D135" s="4" t="s">
        <v>109</v>
      </c>
      <c r="E135" s="4" t="s">
        <v>109</v>
      </c>
      <c r="F135" s="46" t="s">
        <v>1079</v>
      </c>
      <c r="G135" s="64" t="s">
        <v>1080</v>
      </c>
      <c r="H135" s="4" t="s">
        <v>112</v>
      </c>
      <c r="I135" s="4" t="s">
        <v>109</v>
      </c>
      <c r="J135" s="4" t="s">
        <v>109</v>
      </c>
      <c r="K135" s="4" t="s">
        <v>1073</v>
      </c>
      <c r="L135" s="4" t="s">
        <v>1074</v>
      </c>
      <c r="M135" s="6" t="s">
        <v>194</v>
      </c>
      <c r="N135" s="72" t="s">
        <v>246</v>
      </c>
      <c r="O135" s="4" t="s">
        <v>109</v>
      </c>
      <c r="Q135" s="4" t="s">
        <v>109</v>
      </c>
      <c r="R135" s="4" t="s">
        <v>109</v>
      </c>
      <c r="S135" s="4" t="s">
        <v>109</v>
      </c>
      <c r="T135" s="4" t="s">
        <v>109</v>
      </c>
      <c r="U135" s="4" t="s">
        <v>116</v>
      </c>
      <c r="V135" s="4" t="s">
        <v>3022</v>
      </c>
      <c r="W135" s="4" t="b">
        <v>0</v>
      </c>
      <c r="X135" s="4" t="s">
        <v>109</v>
      </c>
      <c r="Y135" s="4" t="s">
        <v>1032</v>
      </c>
      <c r="AA135" s="4" t="s">
        <v>109</v>
      </c>
      <c r="AB135" s="4" t="s">
        <v>109</v>
      </c>
      <c r="AC135" s="4" t="s">
        <v>1104</v>
      </c>
      <c r="AD135" s="4" t="s">
        <v>1075</v>
      </c>
      <c r="AE135" s="4">
        <v>1.2</v>
      </c>
      <c r="AF135" s="4" t="s">
        <v>3533</v>
      </c>
      <c r="AG135" s="5" t="s">
        <v>3522</v>
      </c>
      <c r="AH135" s="5" t="s">
        <v>3534</v>
      </c>
      <c r="AI135" s="4">
        <v>1</v>
      </c>
      <c r="AJ135" s="4" t="s">
        <v>3523</v>
      </c>
      <c r="AK135" s="4" t="s">
        <v>121</v>
      </c>
      <c r="AL135" s="4" t="s">
        <v>3027</v>
      </c>
      <c r="AM135" s="69">
        <v>44788</v>
      </c>
      <c r="AN135" s="4" t="s">
        <v>122</v>
      </c>
      <c r="AO135" s="4" t="s">
        <v>109</v>
      </c>
      <c r="AP135" s="217" t="s">
        <v>109</v>
      </c>
      <c r="AQ135" s="4" t="b">
        <v>0</v>
      </c>
      <c r="AR135" s="4" t="s">
        <v>109</v>
      </c>
      <c r="AS135" s="4" t="s">
        <v>109</v>
      </c>
      <c r="AT135" s="4" t="s">
        <v>109</v>
      </c>
      <c r="AU135" s="4" t="b">
        <v>0</v>
      </c>
      <c r="AV135" s="4" t="s">
        <v>109</v>
      </c>
      <c r="AW135" s="4" t="s">
        <v>109</v>
      </c>
      <c r="AY135" s="4" t="s">
        <v>109</v>
      </c>
      <c r="AZ135" s="4" t="s">
        <v>109</v>
      </c>
      <c r="BA135" s="4" t="s">
        <v>109</v>
      </c>
      <c r="BB135" s="4" t="s">
        <v>109</v>
      </c>
      <c r="BC135" s="4" t="s">
        <v>109</v>
      </c>
      <c r="BD135" s="4" t="s">
        <v>109</v>
      </c>
      <c r="BE135" s="4" t="s">
        <v>109</v>
      </c>
      <c r="BF135" s="4" t="s">
        <v>109</v>
      </c>
      <c r="BG135" s="4" t="s">
        <v>126</v>
      </c>
      <c r="BH135" s="4" t="s">
        <v>109</v>
      </c>
      <c r="BI135" s="69" t="s">
        <v>109</v>
      </c>
      <c r="BJ135" s="69">
        <v>45291</v>
      </c>
      <c r="BK135" s="69" t="s">
        <v>109</v>
      </c>
      <c r="BL135" s="97" t="s">
        <v>109</v>
      </c>
      <c r="BM135" s="4" t="s">
        <v>109</v>
      </c>
      <c r="BN135" s="4" t="b">
        <v>1</v>
      </c>
      <c r="BO135" s="130" t="s">
        <v>118</v>
      </c>
      <c r="BP135" s="4" t="s">
        <v>128</v>
      </c>
      <c r="CF135" s="4" t="s">
        <v>174</v>
      </c>
      <c r="CS135" s="143" t="s">
        <v>1106</v>
      </c>
      <c r="CU135" s="216" t="s">
        <v>3060</v>
      </c>
      <c r="CW135" s="4" t="s">
        <v>3029</v>
      </c>
      <c r="CX135" s="39"/>
    </row>
    <row r="136" spans="1:102" ht="52.8" x14ac:dyDescent="0.3">
      <c r="A136" s="2">
        <v>156</v>
      </c>
      <c r="B136" s="43" t="s">
        <v>1107</v>
      </c>
      <c r="C136" s="51">
        <v>32.717531999999999</v>
      </c>
      <c r="D136" s="51">
        <v>-115.715737</v>
      </c>
      <c r="E136" s="2" t="s">
        <v>1108</v>
      </c>
      <c r="F136" s="47" t="s">
        <v>1079</v>
      </c>
      <c r="G136" s="67" t="s">
        <v>1080</v>
      </c>
      <c r="H136" s="2" t="s">
        <v>112</v>
      </c>
      <c r="I136" s="2" t="s">
        <v>109</v>
      </c>
      <c r="J136" s="2" t="s">
        <v>109</v>
      </c>
      <c r="K136" s="2" t="s">
        <v>1073</v>
      </c>
      <c r="L136" s="2" t="s">
        <v>1074</v>
      </c>
      <c r="M136" s="7" t="s">
        <v>194</v>
      </c>
      <c r="N136" s="77" t="s">
        <v>246</v>
      </c>
      <c r="O136" s="68">
        <v>45595</v>
      </c>
      <c r="Q136" s="2" t="s">
        <v>109</v>
      </c>
      <c r="R136" s="2" t="s">
        <v>109</v>
      </c>
      <c r="S136" s="2" t="s">
        <v>109</v>
      </c>
      <c r="T136" s="2" t="s">
        <v>109</v>
      </c>
      <c r="U136" s="2" t="s">
        <v>310</v>
      </c>
      <c r="V136" s="2" t="s">
        <v>3022</v>
      </c>
      <c r="W136" s="2" t="b">
        <v>0</v>
      </c>
      <c r="X136" s="2" t="s">
        <v>109</v>
      </c>
      <c r="Y136" s="2" t="s">
        <v>1032</v>
      </c>
      <c r="AA136" s="2" t="s">
        <v>118</v>
      </c>
      <c r="AB136" s="2">
        <v>55.48</v>
      </c>
      <c r="AC136" s="2" t="s">
        <v>1109</v>
      </c>
      <c r="AD136" s="2" t="s">
        <v>1075</v>
      </c>
      <c r="AE136" s="2">
        <v>1.2</v>
      </c>
      <c r="AF136" s="2" t="s">
        <v>3535</v>
      </c>
      <c r="AG136" s="3" t="s">
        <v>3522</v>
      </c>
      <c r="AH136" s="3" t="s">
        <v>3536</v>
      </c>
      <c r="AI136" s="2">
        <v>1</v>
      </c>
      <c r="AJ136" s="2" t="s">
        <v>3523</v>
      </c>
      <c r="AK136" s="2" t="s">
        <v>121</v>
      </c>
      <c r="AL136" s="2" t="s">
        <v>3027</v>
      </c>
      <c r="AM136" s="68">
        <v>44063</v>
      </c>
      <c r="AN136" s="2" t="s">
        <v>122</v>
      </c>
      <c r="AO136" s="2" t="s">
        <v>109</v>
      </c>
      <c r="AP136" s="109" t="s">
        <v>109</v>
      </c>
      <c r="AQ136" s="2" t="b">
        <v>0</v>
      </c>
      <c r="AR136" s="2" t="s">
        <v>109</v>
      </c>
      <c r="AS136" s="2" t="s">
        <v>109</v>
      </c>
      <c r="AT136" s="2" t="s">
        <v>109</v>
      </c>
      <c r="AU136" s="2" t="b">
        <v>0</v>
      </c>
      <c r="AV136" s="2" t="s">
        <v>109</v>
      </c>
      <c r="AW136" s="2" t="s">
        <v>109</v>
      </c>
      <c r="AY136" s="2" t="s">
        <v>109</v>
      </c>
      <c r="AZ136" s="2" t="s">
        <v>109</v>
      </c>
      <c r="BA136" s="2" t="s">
        <v>109</v>
      </c>
      <c r="BB136" s="2" t="s">
        <v>109</v>
      </c>
      <c r="BC136" s="7" t="s">
        <v>135</v>
      </c>
      <c r="BD136" s="76" t="s">
        <v>109</v>
      </c>
      <c r="BE136" s="2" t="s">
        <v>109</v>
      </c>
      <c r="BF136" s="2" t="s">
        <v>109</v>
      </c>
      <c r="BG136" s="2" t="s">
        <v>126</v>
      </c>
      <c r="BH136" s="2" t="s">
        <v>109</v>
      </c>
      <c r="BI136" s="121">
        <v>44165</v>
      </c>
      <c r="BJ136" s="68">
        <v>44561</v>
      </c>
      <c r="BK136" s="68">
        <v>44579</v>
      </c>
      <c r="BL136" s="98" t="s">
        <v>109</v>
      </c>
      <c r="BM136" s="2" t="s">
        <v>109</v>
      </c>
      <c r="BN136" s="98" t="b">
        <v>0</v>
      </c>
      <c r="BO136" s="85" t="s">
        <v>118</v>
      </c>
      <c r="BP136" s="2" t="s">
        <v>128</v>
      </c>
      <c r="CF136" s="2" t="s">
        <v>469</v>
      </c>
      <c r="CS136" s="142" t="s">
        <v>1112</v>
      </c>
      <c r="CU136" s="132" t="s">
        <v>3060</v>
      </c>
      <c r="CW136" s="2" t="s">
        <v>3149</v>
      </c>
      <c r="CX136" s="41"/>
    </row>
    <row r="137" spans="1:102" ht="66" x14ac:dyDescent="0.3">
      <c r="A137" s="4">
        <v>157</v>
      </c>
      <c r="B137" s="44" t="s">
        <v>1113</v>
      </c>
      <c r="C137" s="53">
        <v>32.744</v>
      </c>
      <c r="D137" s="53">
        <v>-116.042</v>
      </c>
      <c r="E137" s="4" t="s">
        <v>380</v>
      </c>
      <c r="F137" s="46" t="s">
        <v>1079</v>
      </c>
      <c r="G137" s="64" t="s">
        <v>1080</v>
      </c>
      <c r="H137" s="4" t="s">
        <v>112</v>
      </c>
      <c r="I137" s="4" t="s">
        <v>109</v>
      </c>
      <c r="J137" s="4" t="s">
        <v>109</v>
      </c>
      <c r="K137" s="4" t="s">
        <v>1073</v>
      </c>
      <c r="L137" s="4" t="s">
        <v>1074</v>
      </c>
      <c r="M137" s="6" t="s">
        <v>194</v>
      </c>
      <c r="N137" s="72" t="s">
        <v>246</v>
      </c>
      <c r="O137" s="69">
        <v>45589</v>
      </c>
      <c r="Q137" s="4" t="s">
        <v>109</v>
      </c>
      <c r="R137" s="4" t="s">
        <v>109</v>
      </c>
      <c r="S137" s="4" t="s">
        <v>109</v>
      </c>
      <c r="T137" s="4" t="s">
        <v>109</v>
      </c>
      <c r="U137" s="4" t="s">
        <v>116</v>
      </c>
      <c r="V137" s="4" t="s">
        <v>3022</v>
      </c>
      <c r="W137" s="4" t="b">
        <v>0</v>
      </c>
      <c r="X137" s="4" t="s">
        <v>109</v>
      </c>
      <c r="Y137" s="4" t="s">
        <v>1032</v>
      </c>
      <c r="AA137" s="4" t="s">
        <v>109</v>
      </c>
      <c r="AB137" s="4">
        <v>28.98</v>
      </c>
      <c r="AC137" s="4" t="s">
        <v>1114</v>
      </c>
      <c r="AD137" s="4" t="s">
        <v>1075</v>
      </c>
      <c r="AE137" s="4">
        <v>1.2</v>
      </c>
      <c r="AF137" s="4" t="s">
        <v>3537</v>
      </c>
      <c r="AG137" s="5" t="s">
        <v>3522</v>
      </c>
      <c r="AH137" s="5" t="s">
        <v>3538</v>
      </c>
      <c r="AI137" s="4">
        <v>1</v>
      </c>
      <c r="AJ137" s="4" t="s">
        <v>3523</v>
      </c>
      <c r="AK137" s="4" t="s">
        <v>121</v>
      </c>
      <c r="AL137" s="4" t="s">
        <v>3027</v>
      </c>
      <c r="AM137" s="69">
        <v>44600</v>
      </c>
      <c r="AN137" s="4" t="s">
        <v>122</v>
      </c>
      <c r="AO137" s="4" t="s">
        <v>109</v>
      </c>
      <c r="AP137" s="217" t="s">
        <v>109</v>
      </c>
      <c r="AQ137" s="4" t="b">
        <v>0</v>
      </c>
      <c r="AR137" s="4" t="s">
        <v>109</v>
      </c>
      <c r="AS137" s="4" t="s">
        <v>109</v>
      </c>
      <c r="AT137" s="4" t="s">
        <v>109</v>
      </c>
      <c r="AU137" s="4" t="b">
        <v>0</v>
      </c>
      <c r="AV137" s="4" t="s">
        <v>109</v>
      </c>
      <c r="AW137" s="4" t="s">
        <v>109</v>
      </c>
      <c r="AY137" s="4" t="s">
        <v>109</v>
      </c>
      <c r="AZ137" s="4" t="s">
        <v>109</v>
      </c>
      <c r="BA137" s="4" t="s">
        <v>109</v>
      </c>
      <c r="BB137" s="4" t="s">
        <v>109</v>
      </c>
      <c r="BC137" s="4" t="s">
        <v>123</v>
      </c>
      <c r="BD137" s="4" t="s">
        <v>109</v>
      </c>
      <c r="BE137" s="4" t="s">
        <v>109</v>
      </c>
      <c r="BF137" s="4" t="s">
        <v>109</v>
      </c>
      <c r="BG137" s="4" t="s">
        <v>322</v>
      </c>
      <c r="BH137" s="4" t="s">
        <v>109</v>
      </c>
      <c r="BI137" s="69">
        <v>45208</v>
      </c>
      <c r="BJ137" s="69">
        <v>45291</v>
      </c>
      <c r="BK137" s="69">
        <v>45656</v>
      </c>
      <c r="BL137" s="97" t="s">
        <v>109</v>
      </c>
      <c r="BM137" s="4" t="s">
        <v>109</v>
      </c>
      <c r="BN137" s="6" t="b">
        <v>1</v>
      </c>
      <c r="BO137" s="130" t="s">
        <v>118</v>
      </c>
      <c r="BP137" s="4" t="s">
        <v>128</v>
      </c>
      <c r="CF137" s="4">
        <v>2025</v>
      </c>
      <c r="CS137" s="143" t="s">
        <v>1117</v>
      </c>
      <c r="CU137" s="216" t="s">
        <v>3060</v>
      </c>
      <c r="CW137" s="4" t="s">
        <v>3539</v>
      </c>
      <c r="CX137" s="39"/>
    </row>
    <row r="138" spans="1:102" ht="52.8" x14ac:dyDescent="0.3">
      <c r="A138" s="2">
        <v>158</v>
      </c>
      <c r="B138" s="43" t="s">
        <v>1118</v>
      </c>
      <c r="C138" s="51">
        <v>32.808999999999997</v>
      </c>
      <c r="D138" s="51">
        <v>-116.68300000000001</v>
      </c>
      <c r="E138" s="2" t="s">
        <v>191</v>
      </c>
      <c r="F138" s="47" t="s">
        <v>1079</v>
      </c>
      <c r="G138" s="67" t="s">
        <v>1080</v>
      </c>
      <c r="H138" s="2" t="s">
        <v>112</v>
      </c>
      <c r="I138" s="2" t="s">
        <v>109</v>
      </c>
      <c r="J138" s="2" t="s">
        <v>109</v>
      </c>
      <c r="K138" s="2" t="s">
        <v>1073</v>
      </c>
      <c r="L138" s="2" t="s">
        <v>1074</v>
      </c>
      <c r="M138" s="7" t="s">
        <v>194</v>
      </c>
      <c r="N138" s="77" t="s">
        <v>246</v>
      </c>
      <c r="O138" s="68">
        <v>45574</v>
      </c>
      <c r="Q138" s="2" t="s">
        <v>109</v>
      </c>
      <c r="R138" s="2" t="s">
        <v>109</v>
      </c>
      <c r="S138" s="2" t="s">
        <v>109</v>
      </c>
      <c r="T138" s="2" t="s">
        <v>109</v>
      </c>
      <c r="U138" s="2" t="s">
        <v>310</v>
      </c>
      <c r="V138" s="2" t="s">
        <v>3022</v>
      </c>
      <c r="W138" s="2" t="b">
        <v>0</v>
      </c>
      <c r="X138" s="2" t="s">
        <v>109</v>
      </c>
      <c r="Y138" s="2" t="s">
        <v>1032</v>
      </c>
      <c r="AA138" s="2" t="s">
        <v>109</v>
      </c>
      <c r="AB138" s="2">
        <v>40.94</v>
      </c>
      <c r="AC138" s="2" t="s">
        <v>1119</v>
      </c>
      <c r="AD138" s="2" t="s">
        <v>1075</v>
      </c>
      <c r="AE138" s="2">
        <v>1.2</v>
      </c>
      <c r="AF138" s="2" t="s">
        <v>3540</v>
      </c>
      <c r="AG138" s="3" t="s">
        <v>3522</v>
      </c>
      <c r="AH138" s="3" t="s">
        <v>3541</v>
      </c>
      <c r="AI138" s="2">
        <v>1</v>
      </c>
      <c r="AJ138" s="2" t="s">
        <v>3523</v>
      </c>
      <c r="AK138" s="2" t="s">
        <v>121</v>
      </c>
      <c r="AL138" s="2" t="s">
        <v>3027</v>
      </c>
      <c r="AM138" s="68">
        <v>44194</v>
      </c>
      <c r="AN138" s="2" t="s">
        <v>122</v>
      </c>
      <c r="AO138" s="2" t="s">
        <v>109</v>
      </c>
      <c r="AP138" s="109" t="s">
        <v>109</v>
      </c>
      <c r="AQ138" s="2" t="b">
        <v>0</v>
      </c>
      <c r="AR138" s="2" t="s">
        <v>109</v>
      </c>
      <c r="AS138" s="2" t="s">
        <v>109</v>
      </c>
      <c r="AT138" s="2" t="s">
        <v>109</v>
      </c>
      <c r="AU138" s="2" t="b">
        <v>0</v>
      </c>
      <c r="AV138" s="2" t="s">
        <v>109</v>
      </c>
      <c r="AW138" s="2" t="s">
        <v>109</v>
      </c>
      <c r="AY138" s="2" t="s">
        <v>109</v>
      </c>
      <c r="AZ138" s="2" t="s">
        <v>109</v>
      </c>
      <c r="BA138" s="2" t="s">
        <v>109</v>
      </c>
      <c r="BB138" s="2" t="s">
        <v>109</v>
      </c>
      <c r="BC138" s="2" t="s">
        <v>123</v>
      </c>
      <c r="BD138" s="2" t="s">
        <v>109</v>
      </c>
      <c r="BE138" s="2" t="s">
        <v>109</v>
      </c>
      <c r="BF138" s="2" t="s">
        <v>109</v>
      </c>
      <c r="BG138" s="2" t="s">
        <v>126</v>
      </c>
      <c r="BH138" s="2" t="s">
        <v>109</v>
      </c>
      <c r="BI138" s="68">
        <v>44712</v>
      </c>
      <c r="BJ138" s="68">
        <v>44196</v>
      </c>
      <c r="BK138" s="68">
        <v>45187</v>
      </c>
      <c r="BL138" s="98" t="s">
        <v>109</v>
      </c>
      <c r="BM138" s="2" t="s">
        <v>109</v>
      </c>
      <c r="BN138" s="2" t="b">
        <v>1</v>
      </c>
      <c r="BO138" s="85" t="s">
        <v>118</v>
      </c>
      <c r="BP138" s="2" t="s">
        <v>128</v>
      </c>
      <c r="CF138" s="2" t="s">
        <v>174</v>
      </c>
      <c r="CS138" s="142" t="s">
        <v>1123</v>
      </c>
      <c r="CU138" s="132" t="s">
        <v>3060</v>
      </c>
      <c r="CW138" s="2" t="s">
        <v>3473</v>
      </c>
      <c r="CX138" s="38"/>
    </row>
    <row r="139" spans="1:102" x14ac:dyDescent="0.3">
      <c r="A139" s="4">
        <v>159</v>
      </c>
      <c r="B139" s="44" t="s">
        <v>1124</v>
      </c>
      <c r="C139" s="53">
        <v>32.679000000000002</v>
      </c>
      <c r="D139" s="53">
        <v>-116.98399999999999</v>
      </c>
      <c r="E139" s="4" t="s">
        <v>191</v>
      </c>
      <c r="F139" s="46" t="s">
        <v>1079</v>
      </c>
      <c r="G139" s="64" t="s">
        <v>1080</v>
      </c>
      <c r="H139" s="4" t="s">
        <v>112</v>
      </c>
      <c r="I139" s="4" t="s">
        <v>109</v>
      </c>
      <c r="J139" s="4" t="s">
        <v>109</v>
      </c>
      <c r="K139" s="4" t="s">
        <v>1073</v>
      </c>
      <c r="L139" s="4" t="s">
        <v>1074</v>
      </c>
      <c r="M139" s="6" t="s">
        <v>194</v>
      </c>
      <c r="N139" s="4" t="s">
        <v>109</v>
      </c>
      <c r="O139" s="69">
        <v>45587</v>
      </c>
      <c r="Q139" s="4" t="s">
        <v>109</v>
      </c>
      <c r="R139" s="4" t="s">
        <v>109</v>
      </c>
      <c r="S139" s="4" t="s">
        <v>109</v>
      </c>
      <c r="T139" s="4" t="s">
        <v>109</v>
      </c>
      <c r="U139" s="4" t="s">
        <v>404</v>
      </c>
      <c r="V139" s="4" t="s">
        <v>3022</v>
      </c>
      <c r="W139" s="4" t="b">
        <v>0</v>
      </c>
      <c r="X139" s="4" t="s">
        <v>109</v>
      </c>
      <c r="Y139" s="4" t="s">
        <v>1032</v>
      </c>
      <c r="AA139" s="4" t="s">
        <v>109</v>
      </c>
      <c r="AB139" s="4">
        <v>12.37</v>
      </c>
      <c r="AC139" s="4" t="s">
        <v>3542</v>
      </c>
      <c r="AD139" s="4" t="s">
        <v>1075</v>
      </c>
      <c r="AE139" s="4">
        <v>1.2</v>
      </c>
      <c r="AF139" s="4" t="s">
        <v>3543</v>
      </c>
      <c r="AG139" s="5" t="s">
        <v>3522</v>
      </c>
      <c r="AH139" s="5" t="s">
        <v>3544</v>
      </c>
      <c r="AI139" s="4">
        <v>1</v>
      </c>
      <c r="AJ139" s="4" t="s">
        <v>3523</v>
      </c>
      <c r="AK139" s="4" t="s">
        <v>121</v>
      </c>
      <c r="AL139" s="4" t="s">
        <v>3027</v>
      </c>
      <c r="AM139" s="69">
        <v>43397</v>
      </c>
      <c r="AN139" s="4" t="s">
        <v>122</v>
      </c>
      <c r="AO139" s="4" t="s">
        <v>109</v>
      </c>
      <c r="AP139" s="217" t="s">
        <v>109</v>
      </c>
      <c r="AQ139" s="4" t="b">
        <v>0</v>
      </c>
      <c r="AR139" s="4" t="s">
        <v>109</v>
      </c>
      <c r="AS139" s="4" t="s">
        <v>109</v>
      </c>
      <c r="AT139" s="4" t="s">
        <v>109</v>
      </c>
      <c r="AU139" s="4" t="b">
        <v>0</v>
      </c>
      <c r="AV139" s="4" t="s">
        <v>109</v>
      </c>
      <c r="AW139" s="4" t="s">
        <v>109</v>
      </c>
      <c r="AY139" s="4" t="s">
        <v>109</v>
      </c>
      <c r="AZ139" s="4" t="s">
        <v>109</v>
      </c>
      <c r="BA139" s="4" t="s">
        <v>109</v>
      </c>
      <c r="BB139" s="4" t="s">
        <v>109</v>
      </c>
      <c r="BC139" s="4" t="s">
        <v>135</v>
      </c>
      <c r="BD139" s="4" t="s">
        <v>109</v>
      </c>
      <c r="BE139" s="4" t="s">
        <v>109</v>
      </c>
      <c r="BF139" s="4" t="s">
        <v>109</v>
      </c>
      <c r="BG139" s="4" t="s">
        <v>126</v>
      </c>
      <c r="BH139" s="4" t="s">
        <v>109</v>
      </c>
      <c r="BI139" s="69" t="s">
        <v>1126</v>
      </c>
      <c r="BJ139" s="69">
        <v>43556</v>
      </c>
      <c r="BK139" s="69">
        <v>44012</v>
      </c>
      <c r="BL139" s="97" t="s">
        <v>109</v>
      </c>
      <c r="BM139" s="4" t="s">
        <v>109</v>
      </c>
      <c r="BN139" s="97" t="b">
        <v>0</v>
      </c>
      <c r="BO139" s="130" t="s">
        <v>118</v>
      </c>
      <c r="BP139" s="4" t="s">
        <v>128</v>
      </c>
      <c r="CF139" s="4" t="s">
        <v>807</v>
      </c>
      <c r="CS139" s="148"/>
      <c r="CU139" s="216" t="s">
        <v>3060</v>
      </c>
      <c r="CW139" s="4" t="s">
        <v>3043</v>
      </c>
      <c r="CX139" s="39"/>
    </row>
    <row r="140" spans="1:102" x14ac:dyDescent="0.3">
      <c r="A140" s="2">
        <v>160</v>
      </c>
      <c r="B140" s="43" t="s">
        <v>1129</v>
      </c>
      <c r="C140" s="52" t="s">
        <v>109</v>
      </c>
      <c r="D140" s="2" t="s">
        <v>109</v>
      </c>
      <c r="E140" s="2" t="s">
        <v>109</v>
      </c>
      <c r="F140" s="47" t="s">
        <v>3545</v>
      </c>
      <c r="G140" s="67" t="s">
        <v>1080</v>
      </c>
      <c r="H140" s="2" t="s">
        <v>112</v>
      </c>
      <c r="I140" s="2" t="s">
        <v>109</v>
      </c>
      <c r="J140" s="2" t="s">
        <v>109</v>
      </c>
      <c r="K140" s="2" t="s">
        <v>1073</v>
      </c>
      <c r="L140" s="2" t="s">
        <v>1074</v>
      </c>
      <c r="M140" s="7" t="s">
        <v>194</v>
      </c>
      <c r="N140" s="2" t="s">
        <v>109</v>
      </c>
      <c r="O140" s="2" t="s">
        <v>109</v>
      </c>
      <c r="Q140" s="2" t="s">
        <v>109</v>
      </c>
      <c r="R140" s="2" t="s">
        <v>109</v>
      </c>
      <c r="S140" s="2" t="s">
        <v>109</v>
      </c>
      <c r="T140" s="2" t="s">
        <v>109</v>
      </c>
      <c r="U140" s="2" t="s">
        <v>116</v>
      </c>
      <c r="V140" s="2" t="s">
        <v>3022</v>
      </c>
      <c r="W140" s="2" t="b">
        <v>0</v>
      </c>
      <c r="X140" s="2" t="s">
        <v>109</v>
      </c>
      <c r="Y140" s="2" t="s">
        <v>1032</v>
      </c>
      <c r="AA140" s="2" t="s">
        <v>109</v>
      </c>
      <c r="AB140" s="2" t="s">
        <v>109</v>
      </c>
      <c r="AC140" s="2" t="s">
        <v>3546</v>
      </c>
      <c r="AD140" s="2" t="s">
        <v>1075</v>
      </c>
      <c r="AE140" s="2">
        <v>1.2</v>
      </c>
      <c r="AF140" s="2" t="s">
        <v>3030</v>
      </c>
      <c r="AG140" s="3" t="s">
        <v>3522</v>
      </c>
      <c r="AH140" s="3" t="s">
        <v>3547</v>
      </c>
      <c r="AI140" s="2">
        <v>1</v>
      </c>
      <c r="AJ140" s="2" t="s">
        <v>3523</v>
      </c>
      <c r="AK140" s="2" t="s">
        <v>121</v>
      </c>
      <c r="AL140" s="2" t="s">
        <v>3027</v>
      </c>
      <c r="AM140" s="68">
        <v>43215</v>
      </c>
      <c r="AN140" s="2" t="s">
        <v>122</v>
      </c>
      <c r="AO140" s="2" t="s">
        <v>109</v>
      </c>
      <c r="AP140" s="109" t="s">
        <v>109</v>
      </c>
      <c r="AQ140" s="2" t="b">
        <v>0</v>
      </c>
      <c r="AR140" s="2" t="s">
        <v>109</v>
      </c>
      <c r="AS140" s="2" t="s">
        <v>109</v>
      </c>
      <c r="AT140" s="2" t="s">
        <v>109</v>
      </c>
      <c r="AU140" s="2" t="b">
        <v>0</v>
      </c>
      <c r="AV140" s="2" t="s">
        <v>109</v>
      </c>
      <c r="AW140" s="2" t="s">
        <v>109</v>
      </c>
      <c r="AY140" s="2" t="s">
        <v>109</v>
      </c>
      <c r="AZ140" s="2" t="s">
        <v>109</v>
      </c>
      <c r="BA140" s="2" t="s">
        <v>109</v>
      </c>
      <c r="BB140" s="2" t="s">
        <v>109</v>
      </c>
      <c r="BC140" s="7" t="s">
        <v>109</v>
      </c>
      <c r="BD140" s="76" t="s">
        <v>109</v>
      </c>
      <c r="BE140" s="2" t="s">
        <v>109</v>
      </c>
      <c r="BF140" s="2" t="s">
        <v>109</v>
      </c>
      <c r="BG140" s="2" t="s">
        <v>980</v>
      </c>
      <c r="BH140" s="2" t="s">
        <v>109</v>
      </c>
      <c r="BI140" s="68" t="s">
        <v>109</v>
      </c>
      <c r="BJ140" s="68">
        <v>43830</v>
      </c>
      <c r="BK140" s="68" t="s">
        <v>109</v>
      </c>
      <c r="BL140" s="98" t="s">
        <v>109</v>
      </c>
      <c r="BM140" s="2" t="s">
        <v>109</v>
      </c>
      <c r="BN140" s="2" t="b">
        <v>1</v>
      </c>
      <c r="BO140" s="85" t="s">
        <v>118</v>
      </c>
      <c r="BP140" s="2" t="s">
        <v>128</v>
      </c>
      <c r="CF140" s="2" t="s">
        <v>460</v>
      </c>
      <c r="CS140" s="151"/>
      <c r="CU140" s="132" t="s">
        <v>3060</v>
      </c>
      <c r="CW140" s="2" t="s">
        <v>3029</v>
      </c>
      <c r="CX140" s="38"/>
    </row>
    <row r="141" spans="1:102" ht="66" x14ac:dyDescent="0.3">
      <c r="A141" s="4">
        <v>161</v>
      </c>
      <c r="B141" s="44" t="s">
        <v>1130</v>
      </c>
      <c r="C141" s="53">
        <v>33.453850000000003</v>
      </c>
      <c r="D141" s="53">
        <v>-117.571566667</v>
      </c>
      <c r="E141" s="4" t="s">
        <v>1131</v>
      </c>
      <c r="F141" s="46" t="s">
        <v>1079</v>
      </c>
      <c r="G141" s="64" t="s">
        <v>1080</v>
      </c>
      <c r="H141" s="4" t="s">
        <v>112</v>
      </c>
      <c r="I141" s="4" t="s">
        <v>109</v>
      </c>
      <c r="J141" s="4" t="s">
        <v>109</v>
      </c>
      <c r="K141" s="4" t="s">
        <v>1073</v>
      </c>
      <c r="L141" s="4" t="s">
        <v>1074</v>
      </c>
      <c r="M141" s="6" t="s">
        <v>194</v>
      </c>
      <c r="N141" s="72" t="s">
        <v>246</v>
      </c>
      <c r="O141" s="69">
        <v>45589</v>
      </c>
      <c r="Q141" s="4" t="s">
        <v>109</v>
      </c>
      <c r="R141" s="4" t="s">
        <v>109</v>
      </c>
      <c r="S141" s="4" t="s">
        <v>109</v>
      </c>
      <c r="T141" s="4" t="s">
        <v>109</v>
      </c>
      <c r="U141" s="4" t="s">
        <v>404</v>
      </c>
      <c r="V141" s="4" t="s">
        <v>3022</v>
      </c>
      <c r="W141" s="4" t="b">
        <v>0</v>
      </c>
      <c r="X141" s="4" t="s">
        <v>109</v>
      </c>
      <c r="Y141" s="4" t="s">
        <v>1032</v>
      </c>
      <c r="AA141" s="4" t="s">
        <v>118</v>
      </c>
      <c r="AB141" s="4">
        <v>6.2</v>
      </c>
      <c r="AC141" s="4" t="s">
        <v>1132</v>
      </c>
      <c r="AD141" s="4" t="s">
        <v>1075</v>
      </c>
      <c r="AE141" s="4">
        <v>1.2</v>
      </c>
      <c r="AF141" s="4" t="s">
        <v>3548</v>
      </c>
      <c r="AG141" s="5" t="s">
        <v>3522</v>
      </c>
      <c r="AH141" s="5" t="s">
        <v>3549</v>
      </c>
      <c r="AI141" s="4">
        <v>1</v>
      </c>
      <c r="AJ141" s="4" t="s">
        <v>3523</v>
      </c>
      <c r="AK141" s="4" t="s">
        <v>121</v>
      </c>
      <c r="AL141" s="4" t="s">
        <v>3027</v>
      </c>
      <c r="AM141" s="69">
        <v>45162</v>
      </c>
      <c r="AN141" s="4" t="s">
        <v>122</v>
      </c>
      <c r="AO141" s="4" t="s">
        <v>109</v>
      </c>
      <c r="AP141" s="217" t="s">
        <v>109</v>
      </c>
      <c r="AQ141" s="4" t="b">
        <v>0</v>
      </c>
      <c r="AR141" s="4" t="s">
        <v>109</v>
      </c>
      <c r="AS141" s="4" t="s">
        <v>109</v>
      </c>
      <c r="AT141" s="4" t="s">
        <v>109</v>
      </c>
      <c r="AU141" s="4" t="b">
        <v>0</v>
      </c>
      <c r="AV141" s="4" t="s">
        <v>109</v>
      </c>
      <c r="AW141" s="4" t="s">
        <v>109</v>
      </c>
      <c r="AY141" s="4" t="s">
        <v>109</v>
      </c>
      <c r="AZ141" s="4" t="s">
        <v>109</v>
      </c>
      <c r="BA141" s="4" t="s">
        <v>109</v>
      </c>
      <c r="BB141" s="4" t="s">
        <v>109</v>
      </c>
      <c r="BC141" s="6" t="s">
        <v>123</v>
      </c>
      <c r="BD141" s="75" t="s">
        <v>109</v>
      </c>
      <c r="BE141" s="4" t="s">
        <v>109</v>
      </c>
      <c r="BF141" s="4" t="s">
        <v>109</v>
      </c>
      <c r="BG141" s="4" t="s">
        <v>296</v>
      </c>
      <c r="BH141" s="4" t="s">
        <v>109</v>
      </c>
      <c r="BI141" s="69">
        <v>45698</v>
      </c>
      <c r="BJ141" s="69" t="s">
        <v>1135</v>
      </c>
      <c r="BK141" s="69">
        <v>45964</v>
      </c>
      <c r="BL141" s="97" t="s">
        <v>699</v>
      </c>
      <c r="BM141" s="4" t="s">
        <v>109</v>
      </c>
      <c r="BN141" s="6" t="b">
        <v>1</v>
      </c>
      <c r="BO141" s="130" t="s">
        <v>118</v>
      </c>
      <c r="BP141" s="4" t="s">
        <v>128</v>
      </c>
      <c r="CF141" s="4">
        <v>2025</v>
      </c>
      <c r="CS141" s="143" t="s">
        <v>1091</v>
      </c>
      <c r="CU141" s="216" t="s">
        <v>3060</v>
      </c>
      <c r="CW141" s="4" t="s">
        <v>3550</v>
      </c>
      <c r="CX141" s="39"/>
    </row>
    <row r="142" spans="1:102" ht="66" x14ac:dyDescent="0.3">
      <c r="A142" s="2">
        <v>162</v>
      </c>
      <c r="B142" s="43" t="s">
        <v>1137</v>
      </c>
      <c r="C142" s="51">
        <v>32.573830000000001</v>
      </c>
      <c r="D142" s="51">
        <v>-116.911366</v>
      </c>
      <c r="E142" s="2" t="s">
        <v>1138</v>
      </c>
      <c r="F142" s="47" t="s">
        <v>1079</v>
      </c>
      <c r="G142" s="67" t="s">
        <v>1080</v>
      </c>
      <c r="H142" s="2" t="s">
        <v>112</v>
      </c>
      <c r="I142" s="2" t="s">
        <v>109</v>
      </c>
      <c r="J142" s="2" t="s">
        <v>109</v>
      </c>
      <c r="K142" s="2" t="s">
        <v>1073</v>
      </c>
      <c r="L142" s="2" t="s">
        <v>1074</v>
      </c>
      <c r="M142" s="7" t="s">
        <v>194</v>
      </c>
      <c r="N142" s="77" t="s">
        <v>246</v>
      </c>
      <c r="O142" s="68">
        <v>45590</v>
      </c>
      <c r="Q142" s="2" t="s">
        <v>109</v>
      </c>
      <c r="R142" s="2" t="s">
        <v>109</v>
      </c>
      <c r="S142" s="2" t="s">
        <v>109</v>
      </c>
      <c r="T142" s="2" t="s">
        <v>109</v>
      </c>
      <c r="U142" s="2" t="s">
        <v>404</v>
      </c>
      <c r="V142" s="2" t="s">
        <v>3022</v>
      </c>
      <c r="W142" s="2" t="b">
        <v>0</v>
      </c>
      <c r="X142" s="2" t="s">
        <v>109</v>
      </c>
      <c r="Y142" s="2" t="s">
        <v>1032</v>
      </c>
      <c r="AA142" s="2" t="s">
        <v>118</v>
      </c>
      <c r="AB142" s="2">
        <v>4</v>
      </c>
      <c r="AC142" s="2" t="s">
        <v>1139</v>
      </c>
      <c r="AD142" s="2" t="s">
        <v>1075</v>
      </c>
      <c r="AE142" s="2">
        <v>1.2</v>
      </c>
      <c r="AF142" s="2" t="s">
        <v>3551</v>
      </c>
      <c r="AG142" s="3" t="s">
        <v>3522</v>
      </c>
      <c r="AH142" s="3" t="s">
        <v>3552</v>
      </c>
      <c r="AI142" s="2">
        <v>1</v>
      </c>
      <c r="AJ142" s="2" t="s">
        <v>3523</v>
      </c>
      <c r="AK142" s="2" t="s">
        <v>121</v>
      </c>
      <c r="AL142" s="2" t="s">
        <v>3027</v>
      </c>
      <c r="AM142" s="68">
        <v>44600</v>
      </c>
      <c r="AN142" s="2" t="s">
        <v>122</v>
      </c>
      <c r="AO142" s="2" t="s">
        <v>109</v>
      </c>
      <c r="AP142" s="109" t="s">
        <v>109</v>
      </c>
      <c r="AQ142" s="2" t="b">
        <v>0</v>
      </c>
      <c r="AR142" s="2" t="s">
        <v>109</v>
      </c>
      <c r="AS142" s="2" t="s">
        <v>109</v>
      </c>
      <c r="AT142" s="2" t="s">
        <v>109</v>
      </c>
      <c r="AU142" s="2" t="b">
        <v>0</v>
      </c>
      <c r="AV142" s="2" t="s">
        <v>109</v>
      </c>
      <c r="AW142" s="2" t="s">
        <v>109</v>
      </c>
      <c r="AY142" s="2" t="s">
        <v>109</v>
      </c>
      <c r="AZ142" s="2" t="s">
        <v>109</v>
      </c>
      <c r="BA142" s="2" t="s">
        <v>109</v>
      </c>
      <c r="BB142" s="2" t="s">
        <v>109</v>
      </c>
      <c r="BC142" s="7" t="s">
        <v>123</v>
      </c>
      <c r="BD142" s="76" t="s">
        <v>109</v>
      </c>
      <c r="BE142" s="2" t="s">
        <v>109</v>
      </c>
      <c r="BF142" s="2" t="s">
        <v>109</v>
      </c>
      <c r="BG142" s="2" t="s">
        <v>546</v>
      </c>
      <c r="BH142" s="2" t="s">
        <v>109</v>
      </c>
      <c r="BI142" s="68">
        <v>45503</v>
      </c>
      <c r="BJ142" s="68">
        <v>45291</v>
      </c>
      <c r="BK142" s="68">
        <v>45650</v>
      </c>
      <c r="BL142" s="98" t="s">
        <v>109</v>
      </c>
      <c r="BM142" s="2" t="s">
        <v>109</v>
      </c>
      <c r="BN142" s="98" t="b">
        <v>0</v>
      </c>
      <c r="BO142" s="85" t="s">
        <v>118</v>
      </c>
      <c r="BP142" s="2" t="s">
        <v>128</v>
      </c>
      <c r="CF142" s="2" t="s">
        <v>109</v>
      </c>
      <c r="CS142" s="142" t="s">
        <v>1091</v>
      </c>
      <c r="CU142" s="132" t="s">
        <v>3060</v>
      </c>
      <c r="CW142" s="2" t="s">
        <v>3553</v>
      </c>
      <c r="CX142" s="38"/>
    </row>
    <row r="143" spans="1:102" ht="66" x14ac:dyDescent="0.3">
      <c r="A143" s="4">
        <v>163</v>
      </c>
      <c r="B143" s="44" t="s">
        <v>1143</v>
      </c>
      <c r="C143" s="53">
        <v>33.210999999999999</v>
      </c>
      <c r="D143" s="53">
        <v>-117.33</v>
      </c>
      <c r="E143" s="4" t="s">
        <v>483</v>
      </c>
      <c r="F143" s="46" t="s">
        <v>1079</v>
      </c>
      <c r="G143" s="64" t="s">
        <v>1080</v>
      </c>
      <c r="H143" s="4" t="s">
        <v>112</v>
      </c>
      <c r="I143" s="4" t="s">
        <v>109</v>
      </c>
      <c r="J143" s="4" t="s">
        <v>109</v>
      </c>
      <c r="K143" s="4" t="s">
        <v>1073</v>
      </c>
      <c r="L143" s="4" t="s">
        <v>1074</v>
      </c>
      <c r="M143" s="4" t="s">
        <v>194</v>
      </c>
      <c r="N143" s="72" t="s">
        <v>246</v>
      </c>
      <c r="O143" s="69">
        <v>45583</v>
      </c>
      <c r="Q143" s="4" t="s">
        <v>109</v>
      </c>
      <c r="R143" s="4" t="s">
        <v>109</v>
      </c>
      <c r="S143" s="4" t="s">
        <v>109</v>
      </c>
      <c r="T143" s="4" t="s">
        <v>109</v>
      </c>
      <c r="U143" s="4" t="s">
        <v>116</v>
      </c>
      <c r="V143" s="4" t="s">
        <v>3022</v>
      </c>
      <c r="W143" s="4" t="b">
        <v>0</v>
      </c>
      <c r="X143" s="4" t="s">
        <v>109</v>
      </c>
      <c r="Y143" s="4" t="s">
        <v>1032</v>
      </c>
      <c r="AA143" s="4" t="s">
        <v>118</v>
      </c>
      <c r="AB143" s="6">
        <v>7.4</v>
      </c>
      <c r="AC143" s="4" t="s">
        <v>1144</v>
      </c>
      <c r="AD143" s="4" t="s">
        <v>1075</v>
      </c>
      <c r="AE143" s="4">
        <v>1.2</v>
      </c>
      <c r="AF143" s="4" t="s">
        <v>3554</v>
      </c>
      <c r="AG143" s="5" t="s">
        <v>3522</v>
      </c>
      <c r="AH143" s="5" t="s">
        <v>3555</v>
      </c>
      <c r="AI143" s="4">
        <v>1</v>
      </c>
      <c r="AJ143" s="4" t="s">
        <v>3523</v>
      </c>
      <c r="AK143" s="4" t="s">
        <v>121</v>
      </c>
      <c r="AL143" s="4" t="s">
        <v>3027</v>
      </c>
      <c r="AM143" s="69">
        <v>45369</v>
      </c>
      <c r="AN143" s="4" t="s">
        <v>122</v>
      </c>
      <c r="AO143" s="4" t="s">
        <v>109</v>
      </c>
      <c r="AP143" s="217" t="s">
        <v>109</v>
      </c>
      <c r="AQ143" s="4" t="b">
        <v>0</v>
      </c>
      <c r="AR143" s="4" t="s">
        <v>109</v>
      </c>
      <c r="AS143" s="4" t="s">
        <v>109</v>
      </c>
      <c r="AT143" s="4" t="s">
        <v>109</v>
      </c>
      <c r="AU143" s="4" t="b">
        <v>0</v>
      </c>
      <c r="AV143" s="4" t="s">
        <v>109</v>
      </c>
      <c r="AW143" s="4" t="s">
        <v>109</v>
      </c>
      <c r="AY143" s="4" t="s">
        <v>109</v>
      </c>
      <c r="AZ143" s="4" t="s">
        <v>109</v>
      </c>
      <c r="BA143" s="4" t="s">
        <v>109</v>
      </c>
      <c r="BB143" s="4" t="s">
        <v>109</v>
      </c>
      <c r="BC143" s="6" t="s">
        <v>109</v>
      </c>
      <c r="BD143" s="75" t="s">
        <v>109</v>
      </c>
      <c r="BE143" s="4" t="s">
        <v>109</v>
      </c>
      <c r="BF143" s="4" t="s">
        <v>109</v>
      </c>
      <c r="BG143" s="4" t="s">
        <v>296</v>
      </c>
      <c r="BH143" s="4" t="s">
        <v>109</v>
      </c>
      <c r="BI143" s="69">
        <v>44999</v>
      </c>
      <c r="BJ143" s="69">
        <v>46053</v>
      </c>
      <c r="BK143" s="69">
        <v>46203</v>
      </c>
      <c r="BL143" s="97" t="s">
        <v>109</v>
      </c>
      <c r="BM143" s="4" t="s">
        <v>109</v>
      </c>
      <c r="BN143" s="97" t="b">
        <v>0</v>
      </c>
      <c r="BO143" s="130" t="s">
        <v>118</v>
      </c>
      <c r="BP143" s="4" t="s">
        <v>128</v>
      </c>
      <c r="CF143" s="4" t="s">
        <v>109</v>
      </c>
      <c r="CS143" s="143" t="s">
        <v>1091</v>
      </c>
      <c r="CU143" s="216" t="s">
        <v>3060</v>
      </c>
      <c r="CW143" s="4" t="s">
        <v>3305</v>
      </c>
      <c r="CX143" s="39"/>
    </row>
    <row r="144" spans="1:102" x14ac:dyDescent="0.3">
      <c r="A144" s="2">
        <v>164</v>
      </c>
      <c r="B144" s="109" t="s">
        <v>3556</v>
      </c>
      <c r="C144" s="55"/>
      <c r="D144" s="2"/>
      <c r="E144" s="2"/>
      <c r="F144" s="47"/>
      <c r="G144" s="67"/>
      <c r="H144" s="67"/>
      <c r="I144" s="67"/>
      <c r="J144" s="67"/>
      <c r="K144" s="67"/>
      <c r="L144" s="67"/>
      <c r="M144" s="67"/>
      <c r="N144" s="67"/>
      <c r="O144" s="67"/>
      <c r="Q144" s="67"/>
      <c r="R144" s="67"/>
      <c r="S144" s="67"/>
      <c r="T144" s="67"/>
      <c r="U144" s="86"/>
      <c r="V144" s="2"/>
      <c r="W144" s="2"/>
      <c r="X144" s="2"/>
      <c r="Y144" s="2" t="s">
        <v>1032</v>
      </c>
      <c r="AA144" s="2"/>
      <c r="AB144" s="2"/>
      <c r="AC144" s="2"/>
      <c r="AD144" s="90"/>
      <c r="AE144" s="2"/>
      <c r="AF144" s="2" t="s">
        <v>3051</v>
      </c>
      <c r="AG144" s="3" t="s">
        <v>3522</v>
      </c>
      <c r="AH144" s="3" t="s">
        <v>3557</v>
      </c>
      <c r="AI144" s="2"/>
      <c r="AJ144" s="2" t="s">
        <v>3523</v>
      </c>
      <c r="AK144" s="2"/>
      <c r="AL144" s="2" t="s">
        <v>3053</v>
      </c>
      <c r="AM144" s="68"/>
      <c r="AN144" s="90"/>
      <c r="AO144" s="2"/>
      <c r="AP144" s="109"/>
      <c r="AQ144" s="2"/>
      <c r="AR144" s="2"/>
      <c r="AS144" s="2"/>
      <c r="AT144" s="2"/>
      <c r="AU144" s="90"/>
      <c r="AV144" s="2"/>
      <c r="AW144" s="2"/>
      <c r="AY144" s="2"/>
      <c r="AZ144" s="2"/>
      <c r="BA144" s="2"/>
      <c r="BB144" s="2"/>
      <c r="BC144" s="2"/>
      <c r="BD144" s="2"/>
      <c r="BE144" s="2"/>
      <c r="BF144" s="2"/>
      <c r="BG144" s="2"/>
      <c r="BH144" s="2"/>
      <c r="BI144" s="68"/>
      <c r="BJ144" s="68"/>
      <c r="BK144" s="68"/>
      <c r="BL144" s="98"/>
      <c r="BM144" s="2"/>
      <c r="BN144" s="2"/>
      <c r="BO144" s="90"/>
      <c r="BP144" s="2"/>
      <c r="CF144" s="2"/>
      <c r="CS144" s="146"/>
      <c r="CU144" s="132" t="s">
        <v>3060</v>
      </c>
      <c r="CW144" s="2" t="s">
        <v>3054</v>
      </c>
      <c r="CX144" s="38"/>
    </row>
    <row r="145" spans="1:102" x14ac:dyDescent="0.3">
      <c r="A145" s="4">
        <v>165</v>
      </c>
      <c r="B145" s="44" t="s">
        <v>1148</v>
      </c>
      <c r="C145" s="53">
        <v>33.014052999999997</v>
      </c>
      <c r="D145" s="53">
        <v>-117.198385</v>
      </c>
      <c r="E145" s="4" t="s">
        <v>1149</v>
      </c>
      <c r="F145" s="46" t="s">
        <v>1150</v>
      </c>
      <c r="G145" s="4" t="s">
        <v>111</v>
      </c>
      <c r="H145" s="4" t="s">
        <v>113</v>
      </c>
      <c r="I145" s="4" t="s">
        <v>109</v>
      </c>
      <c r="J145" s="4" t="s">
        <v>109</v>
      </c>
      <c r="K145" s="4" t="s">
        <v>114</v>
      </c>
      <c r="L145" s="4" t="s">
        <v>115</v>
      </c>
      <c r="M145" s="4" t="s">
        <v>109</v>
      </c>
      <c r="N145" s="4" t="s">
        <v>109</v>
      </c>
      <c r="O145" s="69">
        <v>45547</v>
      </c>
      <c r="Q145" s="72" t="s">
        <v>1151</v>
      </c>
      <c r="R145" s="4" t="s">
        <v>109</v>
      </c>
      <c r="S145" s="4" t="s">
        <v>1052</v>
      </c>
      <c r="T145" s="4" t="s">
        <v>109</v>
      </c>
      <c r="U145" s="4" t="s">
        <v>116</v>
      </c>
      <c r="V145" s="4" t="s">
        <v>3022</v>
      </c>
      <c r="W145" s="4" t="b">
        <v>0</v>
      </c>
      <c r="X145" s="4" t="s">
        <v>109</v>
      </c>
      <c r="Y145" s="4" t="s">
        <v>107</v>
      </c>
      <c r="AA145" s="53">
        <v>0.120944</v>
      </c>
      <c r="AB145" s="4" t="s">
        <v>118</v>
      </c>
      <c r="AC145" s="4">
        <v>69</v>
      </c>
      <c r="AD145" s="4" t="s">
        <v>373</v>
      </c>
      <c r="AE145" s="4">
        <v>1.2</v>
      </c>
      <c r="AF145" s="4" t="s">
        <v>3558</v>
      </c>
      <c r="AG145" s="5" t="s">
        <v>3559</v>
      </c>
      <c r="AH145" s="5" t="s">
        <v>3560</v>
      </c>
      <c r="AI145" s="4">
        <v>1</v>
      </c>
      <c r="AJ145" s="4" t="s">
        <v>3561</v>
      </c>
      <c r="AK145" s="4" t="s">
        <v>121</v>
      </c>
      <c r="AL145" s="4" t="s">
        <v>3027</v>
      </c>
      <c r="AM145" s="69">
        <v>43576</v>
      </c>
      <c r="AN145" s="4" t="s">
        <v>122</v>
      </c>
      <c r="AO145" s="4">
        <v>2015</v>
      </c>
      <c r="AP145" s="217" t="s">
        <v>109</v>
      </c>
      <c r="AQ145" s="4" t="b">
        <v>0</v>
      </c>
      <c r="AR145" s="4" t="s">
        <v>109</v>
      </c>
      <c r="AS145" s="4" t="s">
        <v>109</v>
      </c>
      <c r="AT145" s="4" t="s">
        <v>118</v>
      </c>
      <c r="AU145" s="4" t="b">
        <v>0</v>
      </c>
      <c r="AV145" s="4" t="s">
        <v>109</v>
      </c>
      <c r="AW145" s="4" t="s">
        <v>118</v>
      </c>
      <c r="AY145" s="4" t="s">
        <v>109</v>
      </c>
      <c r="AZ145" s="4" t="s">
        <v>109</v>
      </c>
      <c r="BA145" s="4" t="s">
        <v>118</v>
      </c>
      <c r="BB145" s="4" t="s">
        <v>118</v>
      </c>
      <c r="BC145" s="4" t="s">
        <v>135</v>
      </c>
      <c r="BD145" s="4" t="s">
        <v>109</v>
      </c>
      <c r="BE145" s="4" t="s">
        <v>109</v>
      </c>
      <c r="BF145" s="4" t="s">
        <v>109</v>
      </c>
      <c r="BG145" s="4" t="s">
        <v>126</v>
      </c>
      <c r="BH145" s="4" t="s">
        <v>109</v>
      </c>
      <c r="BI145" s="69">
        <v>42926</v>
      </c>
      <c r="BJ145" s="69">
        <v>44153</v>
      </c>
      <c r="BK145" s="69">
        <v>44153</v>
      </c>
      <c r="BL145" s="97" t="s">
        <v>109</v>
      </c>
      <c r="BM145" s="4" t="s">
        <v>109</v>
      </c>
      <c r="BN145" s="97" t="b">
        <v>0</v>
      </c>
      <c r="BO145" s="130">
        <v>5719.0763200000001</v>
      </c>
      <c r="BP145" s="4" t="s">
        <v>128</v>
      </c>
      <c r="CF145" s="4" t="s">
        <v>157</v>
      </c>
      <c r="CS145" s="143"/>
      <c r="CU145" s="216" t="s">
        <v>3028</v>
      </c>
      <c r="CW145" s="4" t="s">
        <v>3562</v>
      </c>
      <c r="CX145" s="39"/>
    </row>
    <row r="146" spans="1:102" x14ac:dyDescent="0.3">
      <c r="A146" s="2">
        <v>166</v>
      </c>
      <c r="B146" s="43" t="s">
        <v>1156</v>
      </c>
      <c r="C146" s="51">
        <v>32.834584999999997</v>
      </c>
      <c r="D146" s="51">
        <v>-117.27190299999999</v>
      </c>
      <c r="E146" s="2" t="s">
        <v>329</v>
      </c>
      <c r="F146" s="47" t="s">
        <v>3563</v>
      </c>
      <c r="G146" s="2" t="s">
        <v>661</v>
      </c>
      <c r="H146" s="2" t="s">
        <v>958</v>
      </c>
      <c r="I146" s="2" t="s">
        <v>109</v>
      </c>
      <c r="J146" s="2" t="s">
        <v>109</v>
      </c>
      <c r="K146" s="2" t="s">
        <v>134</v>
      </c>
      <c r="L146" s="2" t="s">
        <v>1158</v>
      </c>
      <c r="M146" s="2" t="s">
        <v>109</v>
      </c>
      <c r="N146" s="2" t="s">
        <v>109</v>
      </c>
      <c r="O146" s="68">
        <v>45363</v>
      </c>
      <c r="Q146" s="2">
        <v>18</v>
      </c>
      <c r="R146" s="2" t="s">
        <v>109</v>
      </c>
      <c r="S146" s="2" t="s">
        <v>109</v>
      </c>
      <c r="T146" s="2" t="s">
        <v>109</v>
      </c>
      <c r="U146" s="2" t="s">
        <v>116</v>
      </c>
      <c r="V146" s="2" t="s">
        <v>3022</v>
      </c>
      <c r="W146" s="2" t="b">
        <v>0</v>
      </c>
      <c r="X146" s="2" t="s">
        <v>109</v>
      </c>
      <c r="Y146" s="2" t="s">
        <v>672</v>
      </c>
      <c r="AA146" s="51">
        <v>4.2124600000000001</v>
      </c>
      <c r="AB146" s="2" t="s">
        <v>118</v>
      </c>
      <c r="AC146" s="2">
        <v>69</v>
      </c>
      <c r="AD146" s="2" t="s">
        <v>109</v>
      </c>
      <c r="AE146" s="2">
        <v>3.1</v>
      </c>
      <c r="AF146" s="2" t="s">
        <v>3564</v>
      </c>
      <c r="AG146" s="3" t="s">
        <v>3565</v>
      </c>
      <c r="AH146" s="3" t="s">
        <v>3566</v>
      </c>
      <c r="AI146" s="2">
        <v>1</v>
      </c>
      <c r="AJ146" s="2" t="s">
        <v>3567</v>
      </c>
      <c r="AK146" s="2" t="s">
        <v>121</v>
      </c>
      <c r="AL146" s="2" t="s">
        <v>3027</v>
      </c>
      <c r="AM146" s="68">
        <v>43804</v>
      </c>
      <c r="AN146" s="2" t="s">
        <v>122</v>
      </c>
      <c r="AO146" s="2">
        <v>2017</v>
      </c>
      <c r="AP146" s="109" t="s">
        <v>109</v>
      </c>
      <c r="AQ146" s="2" t="b">
        <v>0</v>
      </c>
      <c r="AR146" s="2" t="s">
        <v>109</v>
      </c>
      <c r="AS146" s="2" t="s">
        <v>109</v>
      </c>
      <c r="AT146" s="2" t="s">
        <v>118</v>
      </c>
      <c r="AU146" s="2" t="b">
        <v>0</v>
      </c>
      <c r="AV146" s="2" t="s">
        <v>109</v>
      </c>
      <c r="AW146" s="2" t="s">
        <v>118</v>
      </c>
      <c r="AY146" s="2" t="s">
        <v>124</v>
      </c>
      <c r="AZ146" s="2" t="s">
        <v>109</v>
      </c>
      <c r="BA146" s="2" t="s">
        <v>226</v>
      </c>
      <c r="BB146" s="2" t="s">
        <v>118</v>
      </c>
      <c r="BC146" s="2" t="s">
        <v>135</v>
      </c>
      <c r="BD146" s="2" t="s">
        <v>109</v>
      </c>
      <c r="BE146" s="2" t="s">
        <v>109</v>
      </c>
      <c r="BF146" s="2" t="s">
        <v>109</v>
      </c>
      <c r="BG146" s="2" t="s">
        <v>126</v>
      </c>
      <c r="BH146" s="2" t="s">
        <v>109</v>
      </c>
      <c r="BI146" s="68">
        <v>42646</v>
      </c>
      <c r="BJ146" s="68">
        <v>44595</v>
      </c>
      <c r="BK146" s="68">
        <v>44790</v>
      </c>
      <c r="BL146" s="98" t="s">
        <v>109</v>
      </c>
      <c r="BM146" s="2" t="s">
        <v>109</v>
      </c>
      <c r="BN146" s="2" t="b">
        <v>1</v>
      </c>
      <c r="BO146" s="85">
        <v>8347.5826699999998</v>
      </c>
      <c r="BP146" s="2" t="s">
        <v>128</v>
      </c>
      <c r="CF146" s="2" t="s">
        <v>528</v>
      </c>
      <c r="CS146" s="142"/>
      <c r="CU146" s="132" t="s">
        <v>3187</v>
      </c>
      <c r="CW146" s="2" t="s">
        <v>3568</v>
      </c>
      <c r="CX146" s="38"/>
    </row>
    <row r="147" spans="1:102" ht="26.4" x14ac:dyDescent="0.3">
      <c r="A147" s="4">
        <v>167</v>
      </c>
      <c r="B147" s="44" t="s">
        <v>1165</v>
      </c>
      <c r="C147" s="57" t="s">
        <v>109</v>
      </c>
      <c r="D147" s="4" t="s">
        <v>109</v>
      </c>
      <c r="E147" s="6" t="s">
        <v>109</v>
      </c>
      <c r="F147" s="46" t="s">
        <v>1166</v>
      </c>
      <c r="G147" s="4" t="s">
        <v>111</v>
      </c>
      <c r="H147" s="4" t="s">
        <v>113</v>
      </c>
      <c r="I147" s="4" t="s">
        <v>109</v>
      </c>
      <c r="J147" s="4" t="s">
        <v>109</v>
      </c>
      <c r="K147" s="4" t="s">
        <v>662</v>
      </c>
      <c r="L147" s="4" t="s">
        <v>1167</v>
      </c>
      <c r="M147" s="64" t="s">
        <v>3569</v>
      </c>
      <c r="N147" s="4" t="s">
        <v>109</v>
      </c>
      <c r="O147" s="4" t="s">
        <v>109</v>
      </c>
      <c r="Q147" s="4" t="s">
        <v>109</v>
      </c>
      <c r="R147" s="4" t="s">
        <v>109</v>
      </c>
      <c r="S147" s="4" t="s">
        <v>109</v>
      </c>
      <c r="T147" s="4" t="s">
        <v>109</v>
      </c>
      <c r="U147" s="4" t="s">
        <v>285</v>
      </c>
      <c r="V147" s="4" t="s">
        <v>3386</v>
      </c>
      <c r="W147" s="4" t="b">
        <v>0</v>
      </c>
      <c r="X147" s="4" t="s">
        <v>109</v>
      </c>
      <c r="Y147" s="4" t="s">
        <v>429</v>
      </c>
      <c r="AA147" s="4" t="s">
        <v>109</v>
      </c>
      <c r="AB147" s="4" t="s">
        <v>109</v>
      </c>
      <c r="AC147" s="4" t="s">
        <v>119</v>
      </c>
      <c r="AD147" s="4" t="s">
        <v>990</v>
      </c>
      <c r="AE147" s="4">
        <v>1.1000000000000001</v>
      </c>
      <c r="AF147" s="4" t="s">
        <v>3023</v>
      </c>
      <c r="AG147" s="5" t="s">
        <v>3570</v>
      </c>
      <c r="AH147" s="5" t="s">
        <v>3025</v>
      </c>
      <c r="AI147" s="4">
        <v>82</v>
      </c>
      <c r="AJ147" s="4" t="s">
        <v>3571</v>
      </c>
      <c r="AK147" s="4" t="s">
        <v>121</v>
      </c>
      <c r="AL147" s="4" t="s">
        <v>3027</v>
      </c>
      <c r="AM147" s="69">
        <v>45260</v>
      </c>
      <c r="AN147" s="4" t="s">
        <v>122</v>
      </c>
      <c r="AO147" s="4" t="s">
        <v>109</v>
      </c>
      <c r="AP147" s="217" t="s">
        <v>109</v>
      </c>
      <c r="AQ147" s="4" t="b">
        <v>0</v>
      </c>
      <c r="AR147" s="4" t="s">
        <v>109</v>
      </c>
      <c r="AS147" s="4" t="s">
        <v>109</v>
      </c>
      <c r="AT147" s="4" t="s">
        <v>118</v>
      </c>
      <c r="AU147" s="4" t="b">
        <v>0</v>
      </c>
      <c r="AV147" s="4" t="s">
        <v>109</v>
      </c>
      <c r="AW147" s="4" t="s">
        <v>118</v>
      </c>
      <c r="AY147" s="4" t="s">
        <v>109</v>
      </c>
      <c r="AZ147" s="4" t="s">
        <v>109</v>
      </c>
      <c r="BA147" s="4" t="s">
        <v>118</v>
      </c>
      <c r="BB147" s="4" t="s">
        <v>118</v>
      </c>
      <c r="BC147" s="4" t="s">
        <v>135</v>
      </c>
      <c r="BD147" s="69" t="s">
        <v>109</v>
      </c>
      <c r="BE147" s="6" t="s">
        <v>109</v>
      </c>
      <c r="BF147" s="4" t="s">
        <v>109</v>
      </c>
      <c r="BG147" s="4" t="s">
        <v>126</v>
      </c>
      <c r="BH147" s="4" t="s">
        <v>109</v>
      </c>
      <c r="BI147" s="69" t="s">
        <v>109</v>
      </c>
      <c r="BJ147" s="69">
        <v>45657</v>
      </c>
      <c r="BK147" s="69" t="s">
        <v>109</v>
      </c>
      <c r="BL147" s="97" t="s">
        <v>109</v>
      </c>
      <c r="BM147" s="4" t="s">
        <v>109</v>
      </c>
      <c r="BN147" s="4" t="b">
        <v>1</v>
      </c>
      <c r="BO147" s="130" t="s">
        <v>118</v>
      </c>
      <c r="BP147" s="4" t="s">
        <v>128</v>
      </c>
      <c r="CF147" s="4" t="s">
        <v>129</v>
      </c>
      <c r="CS147" s="143"/>
      <c r="CU147" s="216" t="s">
        <v>3060</v>
      </c>
      <c r="CW147" s="4" t="s">
        <v>3029</v>
      </c>
      <c r="CX147" s="39"/>
    </row>
    <row r="148" spans="1:102" ht="39.6" x14ac:dyDescent="0.3">
      <c r="A148" s="2">
        <v>168</v>
      </c>
      <c r="B148" s="43" t="s">
        <v>1169</v>
      </c>
      <c r="C148" s="51">
        <v>32.566000000000003</v>
      </c>
      <c r="D148" s="51">
        <v>-116.944</v>
      </c>
      <c r="E148" s="2" t="s">
        <v>329</v>
      </c>
      <c r="F148" s="47" t="s">
        <v>1170</v>
      </c>
      <c r="G148" s="67" t="s">
        <v>111</v>
      </c>
      <c r="H148" s="2" t="s">
        <v>113</v>
      </c>
      <c r="I148" s="2" t="s">
        <v>109</v>
      </c>
      <c r="J148" s="2" t="s">
        <v>109</v>
      </c>
      <c r="K148" s="2" t="s">
        <v>662</v>
      </c>
      <c r="L148" s="2" t="s">
        <v>839</v>
      </c>
      <c r="M148" s="2" t="s">
        <v>109</v>
      </c>
      <c r="N148" s="2" t="s">
        <v>109</v>
      </c>
      <c r="O148" s="68">
        <v>45590</v>
      </c>
      <c r="Q148" s="2" t="s">
        <v>109</v>
      </c>
      <c r="R148" s="2" t="s">
        <v>109</v>
      </c>
      <c r="S148" s="2" t="s">
        <v>109</v>
      </c>
      <c r="T148" s="2" t="s">
        <v>109</v>
      </c>
      <c r="U148" s="2" t="s">
        <v>285</v>
      </c>
      <c r="V148" s="2" t="s">
        <v>3386</v>
      </c>
      <c r="W148" s="2" t="b">
        <v>0</v>
      </c>
      <c r="X148" s="2" t="s">
        <v>109</v>
      </c>
      <c r="Y148" s="2" t="s">
        <v>429</v>
      </c>
      <c r="AA148" s="2" t="s">
        <v>109</v>
      </c>
      <c r="AB148" s="2">
        <v>0.94</v>
      </c>
      <c r="AC148" s="2">
        <v>69</v>
      </c>
      <c r="AD148" s="2" t="s">
        <v>109</v>
      </c>
      <c r="AE148" s="2">
        <v>1.1000000000000001</v>
      </c>
      <c r="AF148" s="2" t="s">
        <v>3572</v>
      </c>
      <c r="AG148" s="3" t="s">
        <v>3570</v>
      </c>
      <c r="AH148" s="3" t="s">
        <v>3573</v>
      </c>
      <c r="AI148" s="2">
        <v>1</v>
      </c>
      <c r="AJ148" s="2" t="s">
        <v>3571</v>
      </c>
      <c r="AK148" s="2" t="s">
        <v>121</v>
      </c>
      <c r="AL148" s="2" t="s">
        <v>3027</v>
      </c>
      <c r="AM148" s="68">
        <v>44245</v>
      </c>
      <c r="AN148" s="2" t="s">
        <v>122</v>
      </c>
      <c r="AO148" s="2" t="s">
        <v>109</v>
      </c>
      <c r="AP148" s="109" t="s">
        <v>109</v>
      </c>
      <c r="AQ148" s="2" t="b">
        <v>0</v>
      </c>
      <c r="AR148" s="2" t="s">
        <v>109</v>
      </c>
      <c r="AS148" s="2" t="s">
        <v>109</v>
      </c>
      <c r="AT148" s="2" t="s">
        <v>109</v>
      </c>
      <c r="AU148" s="2" t="b">
        <v>0</v>
      </c>
      <c r="AV148" s="2" t="s">
        <v>109</v>
      </c>
      <c r="AW148" s="2" t="s">
        <v>118</v>
      </c>
      <c r="AY148" s="2" t="s">
        <v>109</v>
      </c>
      <c r="AZ148" s="2" t="s">
        <v>109</v>
      </c>
      <c r="BA148" s="2" t="s">
        <v>118</v>
      </c>
      <c r="BB148" s="2" t="s">
        <v>118</v>
      </c>
      <c r="BC148" s="2" t="s">
        <v>135</v>
      </c>
      <c r="BD148" s="68" t="s">
        <v>109</v>
      </c>
      <c r="BE148" s="7" t="s">
        <v>109</v>
      </c>
      <c r="BF148" s="2" t="s">
        <v>109</v>
      </c>
      <c r="BG148" s="2" t="s">
        <v>322</v>
      </c>
      <c r="BH148" s="2" t="s">
        <v>109</v>
      </c>
      <c r="BI148" s="76">
        <v>44699</v>
      </c>
      <c r="BJ148" s="68">
        <v>44926</v>
      </c>
      <c r="BK148" s="76">
        <v>45405</v>
      </c>
      <c r="BL148" s="98" t="s">
        <v>109</v>
      </c>
      <c r="BM148" s="2" t="s">
        <v>109</v>
      </c>
      <c r="BN148" s="2" t="b">
        <v>1</v>
      </c>
      <c r="BO148" s="85" t="s">
        <v>118</v>
      </c>
      <c r="BP148" s="2" t="s">
        <v>128</v>
      </c>
      <c r="CF148" s="2" t="s">
        <v>2295</v>
      </c>
      <c r="CS148" s="142" t="s">
        <v>3574</v>
      </c>
      <c r="CU148" s="132" t="s">
        <v>3060</v>
      </c>
      <c r="CW148" s="2" t="s">
        <v>3575</v>
      </c>
      <c r="CX148" s="38"/>
    </row>
    <row r="149" spans="1:102" x14ac:dyDescent="0.3">
      <c r="A149" s="4">
        <v>169</v>
      </c>
      <c r="B149" s="44" t="s">
        <v>1175</v>
      </c>
      <c r="C149" s="53">
        <v>33.356000000000002</v>
      </c>
      <c r="D149" s="53">
        <v>-117.11199999999999</v>
      </c>
      <c r="E149" s="4" t="s">
        <v>191</v>
      </c>
      <c r="F149" s="46" t="s">
        <v>1176</v>
      </c>
      <c r="G149" s="64" t="s">
        <v>111</v>
      </c>
      <c r="H149" s="4" t="s">
        <v>113</v>
      </c>
      <c r="I149" s="4" t="s">
        <v>109</v>
      </c>
      <c r="J149" s="4" t="s">
        <v>109</v>
      </c>
      <c r="K149" s="4" t="s">
        <v>662</v>
      </c>
      <c r="L149" s="4" t="s">
        <v>839</v>
      </c>
      <c r="M149" s="4" t="s">
        <v>109</v>
      </c>
      <c r="N149" s="4" t="s">
        <v>109</v>
      </c>
      <c r="O149" s="69">
        <v>45581</v>
      </c>
      <c r="Q149" s="4" t="s">
        <v>109</v>
      </c>
      <c r="R149" s="4" t="s">
        <v>109</v>
      </c>
      <c r="S149" s="4" t="s">
        <v>109</v>
      </c>
      <c r="T149" s="4" t="s">
        <v>109</v>
      </c>
      <c r="U149" s="4" t="s">
        <v>310</v>
      </c>
      <c r="V149" s="4" t="s">
        <v>3386</v>
      </c>
      <c r="W149" s="4" t="b">
        <v>0</v>
      </c>
      <c r="X149" s="4" t="s">
        <v>109</v>
      </c>
      <c r="Y149" s="4" t="s">
        <v>429</v>
      </c>
      <c r="AA149" s="4" t="s">
        <v>109</v>
      </c>
      <c r="AB149" s="4">
        <v>0.84</v>
      </c>
      <c r="AC149" s="4">
        <v>69</v>
      </c>
      <c r="AD149" s="4" t="s">
        <v>109</v>
      </c>
      <c r="AE149" s="4">
        <v>1.1000000000000001</v>
      </c>
      <c r="AF149" s="4" t="s">
        <v>3576</v>
      </c>
      <c r="AG149" s="5" t="s">
        <v>3570</v>
      </c>
      <c r="AH149" s="5" t="s">
        <v>3577</v>
      </c>
      <c r="AI149" s="4">
        <v>1</v>
      </c>
      <c r="AJ149" s="4" t="s">
        <v>3571</v>
      </c>
      <c r="AK149" s="4" t="s">
        <v>121</v>
      </c>
      <c r="AL149" s="4" t="s">
        <v>3027</v>
      </c>
      <c r="AM149" s="69">
        <v>44243</v>
      </c>
      <c r="AN149" s="4" t="s">
        <v>122</v>
      </c>
      <c r="AO149" s="4" t="s">
        <v>109</v>
      </c>
      <c r="AP149" s="217" t="s">
        <v>109</v>
      </c>
      <c r="AQ149" s="4" t="b">
        <v>0</v>
      </c>
      <c r="AR149" s="4" t="s">
        <v>109</v>
      </c>
      <c r="AS149" s="4" t="s">
        <v>109</v>
      </c>
      <c r="AT149" s="4" t="s">
        <v>109</v>
      </c>
      <c r="AU149" s="4" t="b">
        <v>0</v>
      </c>
      <c r="AV149" s="4" t="s">
        <v>109</v>
      </c>
      <c r="AW149" s="4" t="s">
        <v>118</v>
      </c>
      <c r="AY149" s="4" t="s">
        <v>109</v>
      </c>
      <c r="AZ149" s="4" t="s">
        <v>109</v>
      </c>
      <c r="BA149" s="4" t="s">
        <v>118</v>
      </c>
      <c r="BB149" s="4" t="s">
        <v>118</v>
      </c>
      <c r="BC149" s="4" t="s">
        <v>135</v>
      </c>
      <c r="BD149" s="69" t="s">
        <v>109</v>
      </c>
      <c r="BE149" s="6" t="s">
        <v>109</v>
      </c>
      <c r="BF149" s="4" t="s">
        <v>109</v>
      </c>
      <c r="BG149" s="4" t="s">
        <v>150</v>
      </c>
      <c r="BH149" s="4" t="s">
        <v>109</v>
      </c>
      <c r="BI149" s="75">
        <v>45054</v>
      </c>
      <c r="BJ149" s="69">
        <v>44926</v>
      </c>
      <c r="BK149" s="75">
        <v>45825</v>
      </c>
      <c r="BL149" s="97" t="s">
        <v>109</v>
      </c>
      <c r="BM149" s="4" t="s">
        <v>109</v>
      </c>
      <c r="BN149" s="97" t="b">
        <v>0</v>
      </c>
      <c r="BO149" s="130" t="s">
        <v>118</v>
      </c>
      <c r="BP149" s="4" t="s">
        <v>128</v>
      </c>
      <c r="CF149" s="4" t="s">
        <v>109</v>
      </c>
      <c r="CS149" s="143"/>
      <c r="CU149" s="216" t="s">
        <v>3060</v>
      </c>
      <c r="CW149" s="4" t="s">
        <v>3578</v>
      </c>
      <c r="CX149" s="39"/>
    </row>
    <row r="150" spans="1:102" ht="39.6" x14ac:dyDescent="0.3">
      <c r="A150" s="2">
        <v>170</v>
      </c>
      <c r="B150" s="43" t="s">
        <v>1181</v>
      </c>
      <c r="C150" s="51">
        <v>32.653323999999998</v>
      </c>
      <c r="D150" s="51">
        <v>-116.487852</v>
      </c>
      <c r="E150" s="2" t="s">
        <v>191</v>
      </c>
      <c r="F150" s="47" t="s">
        <v>1182</v>
      </c>
      <c r="G150" s="67" t="s">
        <v>166</v>
      </c>
      <c r="H150" s="2" t="s">
        <v>113</v>
      </c>
      <c r="I150" s="2" t="s">
        <v>109</v>
      </c>
      <c r="J150" s="2" t="s">
        <v>109</v>
      </c>
      <c r="K150" s="2" t="s">
        <v>662</v>
      </c>
      <c r="L150" s="2" t="s">
        <v>1183</v>
      </c>
      <c r="M150" s="2" t="s">
        <v>109</v>
      </c>
      <c r="N150" s="2" t="s">
        <v>109</v>
      </c>
      <c r="O150" s="68">
        <v>45553</v>
      </c>
      <c r="Q150" s="2" t="s">
        <v>109</v>
      </c>
      <c r="R150" s="2" t="s">
        <v>109</v>
      </c>
      <c r="S150" s="2" t="s">
        <v>109</v>
      </c>
      <c r="T150" s="2" t="s">
        <v>109</v>
      </c>
      <c r="U150" s="2" t="s">
        <v>310</v>
      </c>
      <c r="V150" s="2" t="s">
        <v>3386</v>
      </c>
      <c r="W150" s="2" t="b">
        <v>0</v>
      </c>
      <c r="X150" s="2" t="s">
        <v>109</v>
      </c>
      <c r="Y150" s="2" t="s">
        <v>429</v>
      </c>
      <c r="AA150" s="2" t="s">
        <v>109</v>
      </c>
      <c r="AB150" s="2" t="s">
        <v>109</v>
      </c>
      <c r="AC150" s="2">
        <v>69</v>
      </c>
      <c r="AD150" s="2" t="s">
        <v>109</v>
      </c>
      <c r="AE150" s="2">
        <v>1.1000000000000001</v>
      </c>
      <c r="AF150" s="2" t="s">
        <v>3579</v>
      </c>
      <c r="AG150" s="3" t="s">
        <v>3570</v>
      </c>
      <c r="AH150" s="3" t="s">
        <v>3580</v>
      </c>
      <c r="AI150" s="2">
        <v>1</v>
      </c>
      <c r="AJ150" s="2" t="s">
        <v>3571</v>
      </c>
      <c r="AK150" s="2" t="s">
        <v>121</v>
      </c>
      <c r="AL150" s="2" t="s">
        <v>3027</v>
      </c>
      <c r="AM150" s="68">
        <v>43173</v>
      </c>
      <c r="AN150" s="2" t="s">
        <v>122</v>
      </c>
      <c r="AO150" s="2" t="s">
        <v>109</v>
      </c>
      <c r="AP150" s="109" t="s">
        <v>109</v>
      </c>
      <c r="AQ150" s="2" t="b">
        <v>0</v>
      </c>
      <c r="AR150" s="2" t="s">
        <v>109</v>
      </c>
      <c r="AS150" s="2" t="s">
        <v>109</v>
      </c>
      <c r="AT150" s="2" t="s">
        <v>109</v>
      </c>
      <c r="AU150" s="2" t="b">
        <v>0</v>
      </c>
      <c r="AV150" s="2" t="s">
        <v>109</v>
      </c>
      <c r="AW150" s="2" t="s">
        <v>118</v>
      </c>
      <c r="AY150" s="2" t="s">
        <v>109</v>
      </c>
      <c r="AZ150" s="2" t="s">
        <v>109</v>
      </c>
      <c r="BA150" s="2" t="s">
        <v>118</v>
      </c>
      <c r="BB150" s="2" t="s">
        <v>118</v>
      </c>
      <c r="BC150" s="2" t="s">
        <v>135</v>
      </c>
      <c r="BD150" s="68" t="s">
        <v>109</v>
      </c>
      <c r="BE150" s="7" t="s">
        <v>109</v>
      </c>
      <c r="BF150" s="2" t="s">
        <v>109</v>
      </c>
      <c r="BG150" s="2" t="s">
        <v>126</v>
      </c>
      <c r="BH150" s="2" t="s">
        <v>109</v>
      </c>
      <c r="BI150" s="76">
        <v>44172</v>
      </c>
      <c r="BJ150" s="68">
        <v>43525</v>
      </c>
      <c r="BK150" s="76">
        <v>44501</v>
      </c>
      <c r="BL150" s="98" t="s">
        <v>109</v>
      </c>
      <c r="BM150" s="2" t="s">
        <v>109</v>
      </c>
      <c r="BN150" s="98" t="b">
        <v>0</v>
      </c>
      <c r="BO150" s="85" t="s">
        <v>118</v>
      </c>
      <c r="BP150" s="2" t="s">
        <v>128</v>
      </c>
      <c r="CF150" s="2" t="s">
        <v>336</v>
      </c>
      <c r="CS150" s="142" t="s">
        <v>3581</v>
      </c>
      <c r="CU150" s="132" t="s">
        <v>3060</v>
      </c>
      <c r="CW150" s="2" t="s">
        <v>3582</v>
      </c>
      <c r="CX150" s="38"/>
    </row>
    <row r="151" spans="1:102" x14ac:dyDescent="0.3">
      <c r="A151" s="4">
        <v>171</v>
      </c>
      <c r="B151" s="44" t="s">
        <v>1187</v>
      </c>
      <c r="C151" s="53">
        <v>33.110402999999998</v>
      </c>
      <c r="D151" s="53">
        <v>-116.671025</v>
      </c>
      <c r="E151" s="4" t="s">
        <v>191</v>
      </c>
      <c r="F151" s="46" t="s">
        <v>1188</v>
      </c>
      <c r="G151" s="64" t="s">
        <v>111</v>
      </c>
      <c r="H151" s="4" t="s">
        <v>113</v>
      </c>
      <c r="I151" s="4" t="s">
        <v>109</v>
      </c>
      <c r="J151" s="4" t="s">
        <v>109</v>
      </c>
      <c r="K151" s="4" t="s">
        <v>662</v>
      </c>
      <c r="L151" s="4" t="s">
        <v>1183</v>
      </c>
      <c r="M151" s="4" t="s">
        <v>109</v>
      </c>
      <c r="N151" s="4" t="s">
        <v>109</v>
      </c>
      <c r="O151" s="69">
        <v>45593</v>
      </c>
      <c r="Q151" s="72">
        <v>53</v>
      </c>
      <c r="R151" s="4" t="s">
        <v>109</v>
      </c>
      <c r="S151" s="4" t="s">
        <v>109</v>
      </c>
      <c r="T151" s="4" t="s">
        <v>109</v>
      </c>
      <c r="U151" s="4" t="s">
        <v>310</v>
      </c>
      <c r="V151" s="4" t="s">
        <v>3386</v>
      </c>
      <c r="W151" s="4" t="b">
        <v>0</v>
      </c>
      <c r="X151" s="4" t="s">
        <v>109</v>
      </c>
      <c r="Y151" s="4" t="s">
        <v>429</v>
      </c>
      <c r="AA151" s="4" t="s">
        <v>109</v>
      </c>
      <c r="AB151" s="4" t="s">
        <v>109</v>
      </c>
      <c r="AC151" s="4">
        <v>69</v>
      </c>
      <c r="AD151" s="4" t="s">
        <v>109</v>
      </c>
      <c r="AE151" s="4">
        <v>1.1000000000000001</v>
      </c>
      <c r="AF151" s="4" t="s">
        <v>3583</v>
      </c>
      <c r="AG151" s="5" t="s">
        <v>3570</v>
      </c>
      <c r="AH151" s="5" t="s">
        <v>3584</v>
      </c>
      <c r="AI151" s="4">
        <v>1</v>
      </c>
      <c r="AJ151" s="4" t="s">
        <v>3571</v>
      </c>
      <c r="AK151" s="4" t="s">
        <v>121</v>
      </c>
      <c r="AL151" s="4" t="s">
        <v>3027</v>
      </c>
      <c r="AM151" s="69">
        <v>43173</v>
      </c>
      <c r="AN151" s="4" t="s">
        <v>122</v>
      </c>
      <c r="AO151" s="4" t="s">
        <v>109</v>
      </c>
      <c r="AP151" s="217" t="s">
        <v>109</v>
      </c>
      <c r="AQ151" s="4" t="b">
        <v>0</v>
      </c>
      <c r="AR151" s="4" t="s">
        <v>109</v>
      </c>
      <c r="AS151" s="4" t="s">
        <v>109</v>
      </c>
      <c r="AT151" s="4" t="s">
        <v>109</v>
      </c>
      <c r="AU151" s="4" t="b">
        <v>0</v>
      </c>
      <c r="AV151" s="4" t="s">
        <v>109</v>
      </c>
      <c r="AW151" s="4" t="s">
        <v>118</v>
      </c>
      <c r="AY151" s="4" t="s">
        <v>109</v>
      </c>
      <c r="AZ151" s="4" t="s">
        <v>109</v>
      </c>
      <c r="BA151" s="4" t="s">
        <v>118</v>
      </c>
      <c r="BB151" s="4" t="s">
        <v>118</v>
      </c>
      <c r="BC151" s="4" t="s">
        <v>135</v>
      </c>
      <c r="BD151" s="69" t="s">
        <v>109</v>
      </c>
      <c r="BE151" s="6" t="s">
        <v>109</v>
      </c>
      <c r="BF151" s="4" t="s">
        <v>109</v>
      </c>
      <c r="BG151" s="4" t="s">
        <v>126</v>
      </c>
      <c r="BH151" s="4" t="s">
        <v>109</v>
      </c>
      <c r="BI151" s="75">
        <v>44074</v>
      </c>
      <c r="BJ151" s="69">
        <v>43617</v>
      </c>
      <c r="BK151" s="75">
        <v>45008</v>
      </c>
      <c r="BL151" s="97" t="s">
        <v>109</v>
      </c>
      <c r="BM151" s="4" t="s">
        <v>109</v>
      </c>
      <c r="BN151" s="4" t="b">
        <v>1</v>
      </c>
      <c r="BO151" s="130" t="s">
        <v>118</v>
      </c>
      <c r="BP151" s="4" t="s">
        <v>128</v>
      </c>
      <c r="CF151" s="4" t="s">
        <v>174</v>
      </c>
      <c r="CS151" s="143"/>
      <c r="CU151" s="216" t="s">
        <v>3172</v>
      </c>
      <c r="CW151" s="4" t="s">
        <v>3585</v>
      </c>
      <c r="CX151" s="39"/>
    </row>
    <row r="152" spans="1:102" x14ac:dyDescent="0.3">
      <c r="A152" s="2">
        <v>172</v>
      </c>
      <c r="B152" s="43" t="s">
        <v>1195</v>
      </c>
      <c r="C152" s="51">
        <v>32.869999999999997</v>
      </c>
      <c r="D152" s="51">
        <v>-116.634</v>
      </c>
      <c r="E152" s="2" t="s">
        <v>191</v>
      </c>
      <c r="F152" s="47" t="s">
        <v>1196</v>
      </c>
      <c r="G152" s="67" t="s">
        <v>111</v>
      </c>
      <c r="H152" s="2" t="s">
        <v>113</v>
      </c>
      <c r="I152" s="2" t="s">
        <v>109</v>
      </c>
      <c r="J152" s="2" t="s">
        <v>109</v>
      </c>
      <c r="K152" s="2" t="s">
        <v>662</v>
      </c>
      <c r="L152" s="2" t="s">
        <v>1197</v>
      </c>
      <c r="M152" s="2" t="s">
        <v>109</v>
      </c>
      <c r="N152" s="2" t="s">
        <v>109</v>
      </c>
      <c r="O152" s="68">
        <v>45554</v>
      </c>
      <c r="Q152" s="77">
        <v>43</v>
      </c>
      <c r="R152" s="2" t="s">
        <v>109</v>
      </c>
      <c r="S152" s="2" t="s">
        <v>109</v>
      </c>
      <c r="T152" s="2" t="s">
        <v>109</v>
      </c>
      <c r="U152" s="2" t="s">
        <v>310</v>
      </c>
      <c r="V152" s="2" t="s">
        <v>3386</v>
      </c>
      <c r="W152" s="2" t="b">
        <v>0</v>
      </c>
      <c r="X152" s="2" t="s">
        <v>109</v>
      </c>
      <c r="Y152" s="2" t="s">
        <v>429</v>
      </c>
      <c r="AA152" s="2" t="s">
        <v>109</v>
      </c>
      <c r="AB152" s="2">
        <v>0.34</v>
      </c>
      <c r="AC152" s="2">
        <v>69</v>
      </c>
      <c r="AD152" s="2" t="s">
        <v>109</v>
      </c>
      <c r="AE152" s="2">
        <v>1.1000000000000001</v>
      </c>
      <c r="AF152" s="2" t="s">
        <v>3586</v>
      </c>
      <c r="AG152" s="3" t="s">
        <v>3570</v>
      </c>
      <c r="AH152" s="3" t="s">
        <v>3587</v>
      </c>
      <c r="AI152" s="2">
        <v>1</v>
      </c>
      <c r="AJ152" s="2" t="s">
        <v>3571</v>
      </c>
      <c r="AK152" s="2" t="s">
        <v>121</v>
      </c>
      <c r="AL152" s="2" t="s">
        <v>3027</v>
      </c>
      <c r="AM152" s="68">
        <v>43817</v>
      </c>
      <c r="AN152" s="2" t="s">
        <v>122</v>
      </c>
      <c r="AO152" s="2" t="s">
        <v>109</v>
      </c>
      <c r="AP152" s="109" t="s">
        <v>109</v>
      </c>
      <c r="AQ152" s="2" t="b">
        <v>0</v>
      </c>
      <c r="AR152" s="2" t="s">
        <v>109</v>
      </c>
      <c r="AS152" s="2" t="s">
        <v>109</v>
      </c>
      <c r="AT152" s="2" t="s">
        <v>109</v>
      </c>
      <c r="AU152" s="2" t="b">
        <v>0</v>
      </c>
      <c r="AV152" s="2" t="s">
        <v>109</v>
      </c>
      <c r="AW152" s="2" t="s">
        <v>118</v>
      </c>
      <c r="AY152" s="2" t="s">
        <v>109</v>
      </c>
      <c r="AZ152" s="2" t="s">
        <v>109</v>
      </c>
      <c r="BA152" s="2" t="s">
        <v>118</v>
      </c>
      <c r="BB152" s="2" t="s">
        <v>118</v>
      </c>
      <c r="BC152" s="2" t="s">
        <v>135</v>
      </c>
      <c r="BD152" s="68" t="s">
        <v>109</v>
      </c>
      <c r="BE152" s="7" t="s">
        <v>109</v>
      </c>
      <c r="BF152" s="2" t="s">
        <v>109</v>
      </c>
      <c r="BG152" s="2" t="s">
        <v>126</v>
      </c>
      <c r="BH152" s="2" t="s">
        <v>109</v>
      </c>
      <c r="BI152" s="76">
        <v>44774</v>
      </c>
      <c r="BJ152" s="68">
        <v>44499</v>
      </c>
      <c r="BK152" s="76">
        <v>45248</v>
      </c>
      <c r="BL152" s="98" t="s">
        <v>109</v>
      </c>
      <c r="BM152" s="2" t="s">
        <v>109</v>
      </c>
      <c r="BN152" s="2" t="b">
        <v>1</v>
      </c>
      <c r="BO152" s="85" t="s">
        <v>118</v>
      </c>
      <c r="BP152" s="2" t="s">
        <v>128</v>
      </c>
      <c r="CF152" s="2" t="s">
        <v>174</v>
      </c>
      <c r="CS152" s="142"/>
      <c r="CU152" s="132" t="s">
        <v>3172</v>
      </c>
      <c r="CW152" s="2" t="s">
        <v>3588</v>
      </c>
      <c r="CX152" s="38"/>
    </row>
    <row r="153" spans="1:102" x14ac:dyDescent="0.3">
      <c r="A153" s="4">
        <v>173</v>
      </c>
      <c r="B153" s="44" t="s">
        <v>3589</v>
      </c>
      <c r="C153" s="53">
        <v>32.743948000000003</v>
      </c>
      <c r="D153" s="53">
        <v>-116.956855</v>
      </c>
      <c r="E153" s="4" t="s">
        <v>2488</v>
      </c>
      <c r="F153" s="46" t="s">
        <v>2489</v>
      </c>
      <c r="G153" s="64" t="s">
        <v>111</v>
      </c>
      <c r="H153" s="4" t="s">
        <v>113</v>
      </c>
      <c r="I153" s="4" t="s">
        <v>109</v>
      </c>
      <c r="J153" s="4" t="s">
        <v>109</v>
      </c>
      <c r="K153" s="4" t="s">
        <v>662</v>
      </c>
      <c r="L153" s="4" t="s">
        <v>2185</v>
      </c>
      <c r="M153" s="4" t="s">
        <v>109</v>
      </c>
      <c r="N153" s="4" t="s">
        <v>109</v>
      </c>
      <c r="O153" s="69">
        <v>45566</v>
      </c>
      <c r="Q153" s="4">
        <v>52</v>
      </c>
      <c r="R153" s="4" t="s">
        <v>109</v>
      </c>
      <c r="S153" s="4" t="s">
        <v>109</v>
      </c>
      <c r="T153" s="4" t="s">
        <v>109</v>
      </c>
      <c r="U153" s="4" t="s">
        <v>285</v>
      </c>
      <c r="V153" s="4" t="s">
        <v>3386</v>
      </c>
      <c r="W153" s="4" t="b">
        <v>0</v>
      </c>
      <c r="X153" s="4" t="s">
        <v>109</v>
      </c>
      <c r="Y153" s="4" t="s">
        <v>429</v>
      </c>
      <c r="AA153" s="4" t="s">
        <v>109</v>
      </c>
      <c r="AB153" s="4" t="s">
        <v>109</v>
      </c>
      <c r="AC153" s="4">
        <v>69</v>
      </c>
      <c r="AD153" s="4" t="s">
        <v>109</v>
      </c>
      <c r="AE153" s="4">
        <v>1.1000000000000001</v>
      </c>
      <c r="AF153" s="4" t="s">
        <v>3590</v>
      </c>
      <c r="AG153" s="5" t="s">
        <v>3570</v>
      </c>
      <c r="AH153" s="5" t="s">
        <v>3591</v>
      </c>
      <c r="AI153" s="4">
        <v>1</v>
      </c>
      <c r="AJ153" s="4" t="s">
        <v>3571</v>
      </c>
      <c r="AK153" s="4" t="s">
        <v>121</v>
      </c>
      <c r="AL153" s="116" t="s">
        <v>3027</v>
      </c>
      <c r="AM153" s="69">
        <v>43819</v>
      </c>
      <c r="AN153" s="4" t="s">
        <v>122</v>
      </c>
      <c r="AO153" s="116" t="s">
        <v>109</v>
      </c>
      <c r="AP153" s="217" t="s">
        <v>109</v>
      </c>
      <c r="AQ153" s="116" t="b">
        <v>0</v>
      </c>
      <c r="AR153" s="116" t="s">
        <v>109</v>
      </c>
      <c r="AS153" s="116" t="s">
        <v>109</v>
      </c>
      <c r="AT153" s="116" t="s">
        <v>109</v>
      </c>
      <c r="AU153" s="4" t="b">
        <v>0</v>
      </c>
      <c r="AV153" s="4" t="s">
        <v>109</v>
      </c>
      <c r="AW153" s="4" t="s">
        <v>118</v>
      </c>
      <c r="AY153" s="4" t="s">
        <v>109</v>
      </c>
      <c r="AZ153" s="4" t="s">
        <v>109</v>
      </c>
      <c r="BA153" s="4" t="s">
        <v>118</v>
      </c>
      <c r="BB153" s="4" t="s">
        <v>118</v>
      </c>
      <c r="BC153" s="4" t="s">
        <v>135</v>
      </c>
      <c r="BD153" s="69">
        <v>44665</v>
      </c>
      <c r="BE153" s="6" t="s">
        <v>3592</v>
      </c>
      <c r="BF153" s="4" t="s">
        <v>109</v>
      </c>
      <c r="BG153" s="4" t="s">
        <v>863</v>
      </c>
      <c r="BH153" s="4" t="s">
        <v>109</v>
      </c>
      <c r="BI153" s="69">
        <v>44760</v>
      </c>
      <c r="BJ153" s="69">
        <v>44926</v>
      </c>
      <c r="BK153" s="69">
        <v>46379</v>
      </c>
      <c r="BL153" s="97" t="s">
        <v>109</v>
      </c>
      <c r="BM153" s="4" t="s">
        <v>109</v>
      </c>
      <c r="BN153" s="4" t="b">
        <v>1</v>
      </c>
      <c r="BO153" s="130" t="s">
        <v>118</v>
      </c>
      <c r="BP153" s="4" t="s">
        <v>128</v>
      </c>
      <c r="CF153" s="4" t="s">
        <v>842</v>
      </c>
      <c r="CS153" s="143"/>
      <c r="CU153" s="216" t="s">
        <v>3028</v>
      </c>
      <c r="CW153" s="4" t="s">
        <v>3265</v>
      </c>
      <c r="CX153" s="39"/>
    </row>
    <row r="154" spans="1:102" ht="26.4" x14ac:dyDescent="0.3">
      <c r="A154" s="2">
        <v>174</v>
      </c>
      <c r="B154" s="43" t="s">
        <v>3593</v>
      </c>
      <c r="C154" s="51">
        <v>33.252000000000002</v>
      </c>
      <c r="D154" s="51">
        <v>-117.3</v>
      </c>
      <c r="E154" s="2" t="s">
        <v>483</v>
      </c>
      <c r="F154" s="47" t="s">
        <v>2489</v>
      </c>
      <c r="G154" s="67" t="s">
        <v>111</v>
      </c>
      <c r="H154" s="2" t="s">
        <v>113</v>
      </c>
      <c r="I154" s="2" t="s">
        <v>109</v>
      </c>
      <c r="J154" s="2" t="s">
        <v>109</v>
      </c>
      <c r="K154" s="2" t="s">
        <v>114</v>
      </c>
      <c r="L154" s="2" t="s">
        <v>2185</v>
      </c>
      <c r="M154" s="2" t="s">
        <v>109</v>
      </c>
      <c r="N154" s="2" t="s">
        <v>109</v>
      </c>
      <c r="O154" s="68">
        <v>45572</v>
      </c>
      <c r="Q154" s="2">
        <v>45</v>
      </c>
      <c r="R154" s="2" t="s">
        <v>109</v>
      </c>
      <c r="S154" s="2" t="s">
        <v>109</v>
      </c>
      <c r="T154" s="2" t="s">
        <v>109</v>
      </c>
      <c r="U154" s="2" t="s">
        <v>116</v>
      </c>
      <c r="V154" s="2" t="s">
        <v>3158</v>
      </c>
      <c r="W154" s="2" t="b">
        <v>0</v>
      </c>
      <c r="X154" s="2" t="s">
        <v>109</v>
      </c>
      <c r="Y154" s="2" t="s">
        <v>429</v>
      </c>
      <c r="AA154" s="2" t="s">
        <v>109</v>
      </c>
      <c r="AB154" s="2">
        <v>2.17</v>
      </c>
      <c r="AC154" s="2">
        <v>69</v>
      </c>
      <c r="AD154" s="2" t="s">
        <v>109</v>
      </c>
      <c r="AE154" s="2">
        <v>1.1000000000000001</v>
      </c>
      <c r="AF154" s="2" t="s">
        <v>3594</v>
      </c>
      <c r="AG154" s="3" t="s">
        <v>3570</v>
      </c>
      <c r="AH154" s="3" t="s">
        <v>3595</v>
      </c>
      <c r="AI154" s="2">
        <v>1</v>
      </c>
      <c r="AJ154" s="2" t="s">
        <v>3571</v>
      </c>
      <c r="AK154" s="2" t="s">
        <v>121</v>
      </c>
      <c r="AL154" s="117" t="s">
        <v>3027</v>
      </c>
      <c r="AM154" s="68">
        <v>43819</v>
      </c>
      <c r="AN154" s="2" t="s">
        <v>122</v>
      </c>
      <c r="AO154" s="117" t="s">
        <v>109</v>
      </c>
      <c r="AP154" s="109" t="s">
        <v>109</v>
      </c>
      <c r="AQ154" s="117" t="b">
        <v>0</v>
      </c>
      <c r="AR154" s="117" t="s">
        <v>109</v>
      </c>
      <c r="AS154" s="117" t="s">
        <v>109</v>
      </c>
      <c r="AT154" s="117" t="s">
        <v>109</v>
      </c>
      <c r="AU154" s="2" t="b">
        <v>0</v>
      </c>
      <c r="AV154" s="2" t="s">
        <v>109</v>
      </c>
      <c r="AW154" s="2" t="s">
        <v>118</v>
      </c>
      <c r="AY154" s="2" t="s">
        <v>109</v>
      </c>
      <c r="AZ154" s="2" t="s">
        <v>109</v>
      </c>
      <c r="BA154" s="2" t="s">
        <v>118</v>
      </c>
      <c r="BB154" s="2" t="s">
        <v>118</v>
      </c>
      <c r="BC154" s="2" t="s">
        <v>135</v>
      </c>
      <c r="BD154" s="68" t="s">
        <v>109</v>
      </c>
      <c r="BE154" s="7" t="s">
        <v>109</v>
      </c>
      <c r="BF154" s="2" t="s">
        <v>109</v>
      </c>
      <c r="BG154" s="2" t="s">
        <v>546</v>
      </c>
      <c r="BH154" s="2" t="s">
        <v>109</v>
      </c>
      <c r="BI154" s="68">
        <v>45932</v>
      </c>
      <c r="BJ154" s="68">
        <v>44713</v>
      </c>
      <c r="BK154" s="68">
        <v>46896</v>
      </c>
      <c r="BL154" s="98" t="s">
        <v>246</v>
      </c>
      <c r="BM154" s="2" t="s">
        <v>109</v>
      </c>
      <c r="BN154" s="7" t="b">
        <v>1</v>
      </c>
      <c r="BO154" s="85" t="s">
        <v>118</v>
      </c>
      <c r="BP154" s="2" t="s">
        <v>128</v>
      </c>
      <c r="CF154" s="2" t="s">
        <v>3596</v>
      </c>
      <c r="CS154" s="142" t="s">
        <v>2502</v>
      </c>
      <c r="CU154" s="132" t="s">
        <v>3028</v>
      </c>
      <c r="CW154" s="2" t="s">
        <v>3597</v>
      </c>
      <c r="CX154" s="38"/>
    </row>
    <row r="155" spans="1:102" x14ac:dyDescent="0.3">
      <c r="A155" s="4">
        <v>175</v>
      </c>
      <c r="B155" s="44" t="s">
        <v>1202</v>
      </c>
      <c r="C155" s="53">
        <v>32.869999999999997</v>
      </c>
      <c r="D155" s="53">
        <v>-116.634</v>
      </c>
      <c r="E155" s="4" t="s">
        <v>191</v>
      </c>
      <c r="F155" s="46" t="s">
        <v>1203</v>
      </c>
      <c r="G155" s="64" t="s">
        <v>111</v>
      </c>
      <c r="H155" s="4" t="s">
        <v>113</v>
      </c>
      <c r="I155" s="4" t="s">
        <v>109</v>
      </c>
      <c r="J155" s="4" t="s">
        <v>109</v>
      </c>
      <c r="K155" s="4" t="s">
        <v>662</v>
      </c>
      <c r="L155" s="4" t="s">
        <v>432</v>
      </c>
      <c r="M155" s="4" t="s">
        <v>109</v>
      </c>
      <c r="N155" s="4" t="s">
        <v>109</v>
      </c>
      <c r="O155" s="69">
        <v>45554</v>
      </c>
      <c r="Q155" s="72">
        <v>2.2000000000000002</v>
      </c>
      <c r="R155" s="4" t="s">
        <v>109</v>
      </c>
      <c r="S155" s="4" t="s">
        <v>109</v>
      </c>
      <c r="T155" s="4" t="s">
        <v>109</v>
      </c>
      <c r="U155" s="4" t="s">
        <v>310</v>
      </c>
      <c r="V155" s="4" t="s">
        <v>3386</v>
      </c>
      <c r="W155" s="4" t="b">
        <v>0</v>
      </c>
      <c r="X155" s="4" t="s">
        <v>109</v>
      </c>
      <c r="Y155" s="4" t="s">
        <v>429</v>
      </c>
      <c r="AA155" s="4" t="s">
        <v>109</v>
      </c>
      <c r="AB155" s="4">
        <v>0.34</v>
      </c>
      <c r="AC155" s="4">
        <v>69</v>
      </c>
      <c r="AD155" s="4" t="s">
        <v>109</v>
      </c>
      <c r="AE155" s="4">
        <v>1.1000000000000001</v>
      </c>
      <c r="AF155" s="4" t="s">
        <v>3598</v>
      </c>
      <c r="AG155" s="5" t="s">
        <v>3570</v>
      </c>
      <c r="AH155" s="5" t="s">
        <v>3599</v>
      </c>
      <c r="AI155" s="4">
        <v>1</v>
      </c>
      <c r="AJ155" s="4" t="s">
        <v>3571</v>
      </c>
      <c r="AK155" s="4" t="s">
        <v>121</v>
      </c>
      <c r="AL155" s="4" t="s">
        <v>3027</v>
      </c>
      <c r="AM155" s="69">
        <v>42460</v>
      </c>
      <c r="AN155" s="4" t="s">
        <v>122</v>
      </c>
      <c r="AO155" s="4" t="s">
        <v>109</v>
      </c>
      <c r="AP155" s="217" t="s">
        <v>109</v>
      </c>
      <c r="AQ155" s="4" t="b">
        <v>0</v>
      </c>
      <c r="AR155" s="4" t="s">
        <v>109</v>
      </c>
      <c r="AS155" s="4" t="s">
        <v>109</v>
      </c>
      <c r="AT155" s="4" t="s">
        <v>109</v>
      </c>
      <c r="AU155" s="4" t="b">
        <v>0</v>
      </c>
      <c r="AV155" s="4" t="s">
        <v>109</v>
      </c>
      <c r="AW155" s="4" t="s">
        <v>118</v>
      </c>
      <c r="AY155" s="4" t="s">
        <v>109</v>
      </c>
      <c r="AZ155" s="4" t="s">
        <v>109</v>
      </c>
      <c r="BA155" s="4" t="s">
        <v>118</v>
      </c>
      <c r="BB155" s="4" t="s">
        <v>118</v>
      </c>
      <c r="BC155" s="4" t="s">
        <v>135</v>
      </c>
      <c r="BD155" s="69" t="s">
        <v>109</v>
      </c>
      <c r="BE155" s="6" t="s">
        <v>109</v>
      </c>
      <c r="BF155" s="4" t="s">
        <v>109</v>
      </c>
      <c r="BG155" s="4" t="s">
        <v>126</v>
      </c>
      <c r="BH155" s="4" t="s">
        <v>109</v>
      </c>
      <c r="BI155" s="75">
        <v>42681</v>
      </c>
      <c r="BJ155" s="69">
        <v>43070</v>
      </c>
      <c r="BK155" s="75">
        <v>44377</v>
      </c>
      <c r="BL155" s="97" t="s">
        <v>109</v>
      </c>
      <c r="BM155" s="4" t="s">
        <v>109</v>
      </c>
      <c r="BN155" s="97" t="b">
        <v>0</v>
      </c>
      <c r="BO155" s="130" t="s">
        <v>118</v>
      </c>
      <c r="BP155" s="4" t="s">
        <v>128</v>
      </c>
      <c r="CF155" s="4" t="s">
        <v>1209</v>
      </c>
      <c r="CS155" s="143"/>
      <c r="CU155" s="216" t="s">
        <v>3187</v>
      </c>
      <c r="CW155" s="4" t="s">
        <v>3588</v>
      </c>
      <c r="CX155" s="39"/>
    </row>
    <row r="156" spans="1:102" x14ac:dyDescent="0.3">
      <c r="A156" s="2">
        <v>176</v>
      </c>
      <c r="B156" s="43" t="s">
        <v>1210</v>
      </c>
      <c r="C156" s="51">
        <v>33.247</v>
      </c>
      <c r="D156" s="51">
        <v>-116.676</v>
      </c>
      <c r="E156" s="2" t="s">
        <v>191</v>
      </c>
      <c r="F156" s="47" t="s">
        <v>1203</v>
      </c>
      <c r="G156" s="67" t="s">
        <v>111</v>
      </c>
      <c r="H156" s="2" t="s">
        <v>113</v>
      </c>
      <c r="I156" s="2" t="s">
        <v>109</v>
      </c>
      <c r="J156" s="2" t="s">
        <v>109</v>
      </c>
      <c r="K156" s="2" t="s">
        <v>662</v>
      </c>
      <c r="L156" s="2" t="s">
        <v>432</v>
      </c>
      <c r="M156" s="2" t="s">
        <v>109</v>
      </c>
      <c r="N156" s="2" t="s">
        <v>109</v>
      </c>
      <c r="O156" s="68">
        <v>45593</v>
      </c>
      <c r="Q156" s="77">
        <v>2.2000000000000002</v>
      </c>
      <c r="R156" s="2" t="s">
        <v>109</v>
      </c>
      <c r="S156" s="2" t="s">
        <v>109</v>
      </c>
      <c r="T156" s="2" t="s">
        <v>109</v>
      </c>
      <c r="U156" s="2" t="s">
        <v>404</v>
      </c>
      <c r="V156" s="2" t="s">
        <v>3386</v>
      </c>
      <c r="W156" s="2" t="b">
        <v>0</v>
      </c>
      <c r="X156" s="2" t="s">
        <v>109</v>
      </c>
      <c r="Y156" s="2" t="s">
        <v>429</v>
      </c>
      <c r="AA156" s="2" t="s">
        <v>109</v>
      </c>
      <c r="AB156" s="2">
        <v>1.08</v>
      </c>
      <c r="AC156" s="2">
        <v>69</v>
      </c>
      <c r="AD156" s="2" t="s">
        <v>109</v>
      </c>
      <c r="AE156" s="2">
        <v>1.1000000000000001</v>
      </c>
      <c r="AF156" s="2" t="s">
        <v>3600</v>
      </c>
      <c r="AG156" s="3" t="s">
        <v>3570</v>
      </c>
      <c r="AH156" s="3" t="s">
        <v>3601</v>
      </c>
      <c r="AI156" s="2">
        <v>1</v>
      </c>
      <c r="AJ156" s="2" t="s">
        <v>3571</v>
      </c>
      <c r="AK156" s="2" t="s">
        <v>121</v>
      </c>
      <c r="AL156" s="2" t="s">
        <v>3027</v>
      </c>
      <c r="AM156" s="68">
        <v>42613</v>
      </c>
      <c r="AN156" s="2" t="s">
        <v>122</v>
      </c>
      <c r="AO156" s="2" t="s">
        <v>109</v>
      </c>
      <c r="AP156" s="109" t="s">
        <v>109</v>
      </c>
      <c r="AQ156" s="2" t="b">
        <v>0</v>
      </c>
      <c r="AR156" s="2" t="s">
        <v>109</v>
      </c>
      <c r="AS156" s="2" t="s">
        <v>109</v>
      </c>
      <c r="AT156" s="2" t="s">
        <v>109</v>
      </c>
      <c r="AU156" s="2" t="b">
        <v>0</v>
      </c>
      <c r="AV156" s="2" t="s">
        <v>109</v>
      </c>
      <c r="AW156" s="2" t="s">
        <v>118</v>
      </c>
      <c r="AY156" s="2" t="s">
        <v>109</v>
      </c>
      <c r="AZ156" s="2" t="s">
        <v>109</v>
      </c>
      <c r="BA156" s="2" t="s">
        <v>118</v>
      </c>
      <c r="BB156" s="2" t="s">
        <v>118</v>
      </c>
      <c r="BC156" s="2" t="s">
        <v>135</v>
      </c>
      <c r="BD156" s="68" t="s">
        <v>109</v>
      </c>
      <c r="BE156" s="7" t="s">
        <v>109</v>
      </c>
      <c r="BF156" s="2" t="s">
        <v>109</v>
      </c>
      <c r="BG156" s="2" t="s">
        <v>126</v>
      </c>
      <c r="BH156" s="2" t="s">
        <v>109</v>
      </c>
      <c r="BI156" s="76">
        <v>42682</v>
      </c>
      <c r="BJ156" s="68">
        <v>43070</v>
      </c>
      <c r="BK156" s="76">
        <v>44547</v>
      </c>
      <c r="BL156" s="98" t="s">
        <v>109</v>
      </c>
      <c r="BM156" s="2" t="s">
        <v>109</v>
      </c>
      <c r="BN156" s="2" t="b">
        <v>1</v>
      </c>
      <c r="BO156" s="85" t="s">
        <v>118</v>
      </c>
      <c r="BP156" s="2" t="s">
        <v>128</v>
      </c>
      <c r="CF156" s="2" t="s">
        <v>1214</v>
      </c>
      <c r="CS156" s="142"/>
      <c r="CU156" s="132" t="s">
        <v>3172</v>
      </c>
      <c r="CW156" s="2" t="s">
        <v>3602</v>
      </c>
      <c r="CX156" s="41"/>
    </row>
    <row r="157" spans="1:102" ht="27" x14ac:dyDescent="0.3">
      <c r="A157" s="4">
        <v>177</v>
      </c>
      <c r="B157" s="44" t="s">
        <v>1215</v>
      </c>
      <c r="C157" s="4">
        <v>-117.033</v>
      </c>
      <c r="D157" s="4">
        <v>32.941000000000003</v>
      </c>
      <c r="E157" s="4" t="s">
        <v>1216</v>
      </c>
      <c r="F157" s="46" t="s">
        <v>1217</v>
      </c>
      <c r="G157" s="64" t="s">
        <v>111</v>
      </c>
      <c r="H157" s="64" t="s">
        <v>113</v>
      </c>
      <c r="I157" s="4" t="s">
        <v>109</v>
      </c>
      <c r="J157" s="4" t="s">
        <v>109</v>
      </c>
      <c r="K157" s="4" t="s">
        <v>662</v>
      </c>
      <c r="L157" s="4" t="s">
        <v>432</v>
      </c>
      <c r="M157" s="4" t="s">
        <v>109</v>
      </c>
      <c r="N157" s="4" t="s">
        <v>109</v>
      </c>
      <c r="O157" s="69">
        <v>45547</v>
      </c>
      <c r="Q157" s="4" t="s">
        <v>1218</v>
      </c>
      <c r="R157" s="4" t="s">
        <v>109</v>
      </c>
      <c r="S157" s="4" t="s">
        <v>109</v>
      </c>
      <c r="T157" s="4" t="s">
        <v>109</v>
      </c>
      <c r="U157" s="4" t="s">
        <v>404</v>
      </c>
      <c r="V157" s="4" t="s">
        <v>3386</v>
      </c>
      <c r="W157" s="4" t="b">
        <v>0</v>
      </c>
      <c r="X157" s="4" t="s">
        <v>109</v>
      </c>
      <c r="Y157" s="4" t="s">
        <v>429</v>
      </c>
      <c r="AA157" s="4" t="s">
        <v>109</v>
      </c>
      <c r="AB157" s="4">
        <v>1.37</v>
      </c>
      <c r="AC157" s="4">
        <v>69</v>
      </c>
      <c r="AD157" s="4" t="s">
        <v>109</v>
      </c>
      <c r="AE157" s="4">
        <v>1.1000000000000001</v>
      </c>
      <c r="AF157" s="4" t="s">
        <v>3603</v>
      </c>
      <c r="AG157" s="5" t="s">
        <v>3570</v>
      </c>
      <c r="AH157" s="5" t="s">
        <v>3604</v>
      </c>
      <c r="AI157" s="4">
        <v>1</v>
      </c>
      <c r="AJ157" s="4" t="s">
        <v>3571</v>
      </c>
      <c r="AK157" s="4" t="s">
        <v>121</v>
      </c>
      <c r="AL157" s="4" t="s">
        <v>3027</v>
      </c>
      <c r="AM157" s="69">
        <v>44243</v>
      </c>
      <c r="AN157" s="4" t="s">
        <v>122</v>
      </c>
      <c r="AO157" s="4">
        <v>2022</v>
      </c>
      <c r="AP157" s="217" t="s">
        <v>109</v>
      </c>
      <c r="AQ157" s="4" t="b">
        <v>0</v>
      </c>
      <c r="AR157" s="4" t="s">
        <v>109</v>
      </c>
      <c r="AS157" s="4" t="s">
        <v>109</v>
      </c>
      <c r="AT157" s="4" t="s">
        <v>109</v>
      </c>
      <c r="AU157" s="4" t="b">
        <v>0</v>
      </c>
      <c r="AV157" s="4" t="s">
        <v>123</v>
      </c>
      <c r="AW157" s="4" t="s">
        <v>118</v>
      </c>
      <c r="AY157" s="4" t="s">
        <v>109</v>
      </c>
      <c r="AZ157" s="4" t="s">
        <v>109</v>
      </c>
      <c r="BA157" s="4" t="s">
        <v>226</v>
      </c>
      <c r="BB157" s="4" t="s">
        <v>118</v>
      </c>
      <c r="BC157" s="4" t="s">
        <v>135</v>
      </c>
      <c r="BD157" s="69" t="s">
        <v>109</v>
      </c>
      <c r="BE157" s="6" t="s">
        <v>109</v>
      </c>
      <c r="BF157" s="4" t="s">
        <v>109</v>
      </c>
      <c r="BG157" s="4" t="s">
        <v>126</v>
      </c>
      <c r="BH157" s="4" t="s">
        <v>109</v>
      </c>
      <c r="BI157" s="75">
        <v>45271</v>
      </c>
      <c r="BJ157" s="69">
        <v>44773</v>
      </c>
      <c r="BK157" s="75">
        <v>45506</v>
      </c>
      <c r="BL157" s="97" t="s">
        <v>109</v>
      </c>
      <c r="BM157" s="4" t="s">
        <v>109</v>
      </c>
      <c r="BN157" s="4" t="b">
        <v>1</v>
      </c>
      <c r="BO157" s="130" t="s">
        <v>118</v>
      </c>
      <c r="BP157" s="4" t="s">
        <v>128</v>
      </c>
      <c r="CF157" s="4" t="s">
        <v>2295</v>
      </c>
      <c r="CS157" s="144"/>
      <c r="CU157" s="216" t="s">
        <v>3028</v>
      </c>
      <c r="CW157" s="4" t="s">
        <v>3605</v>
      </c>
      <c r="CX157" s="225" t="s">
        <v>3162</v>
      </c>
    </row>
    <row r="158" spans="1:102" ht="27" x14ac:dyDescent="0.3">
      <c r="A158" s="2">
        <v>178</v>
      </c>
      <c r="B158" s="43" t="s">
        <v>1223</v>
      </c>
      <c r="C158" s="2">
        <v>-117.417</v>
      </c>
      <c r="D158" s="2">
        <v>33.256999999999998</v>
      </c>
      <c r="E158" s="2" t="s">
        <v>191</v>
      </c>
      <c r="F158" s="47" t="s">
        <v>1224</v>
      </c>
      <c r="G158" s="67" t="s">
        <v>111</v>
      </c>
      <c r="H158" s="67" t="s">
        <v>113</v>
      </c>
      <c r="I158" s="2" t="s">
        <v>109</v>
      </c>
      <c r="J158" s="2" t="s">
        <v>109</v>
      </c>
      <c r="K158" s="2" t="s">
        <v>662</v>
      </c>
      <c r="L158" s="2" t="s">
        <v>432</v>
      </c>
      <c r="M158" s="2" t="s">
        <v>109</v>
      </c>
      <c r="N158" s="2" t="s">
        <v>109</v>
      </c>
      <c r="O158" s="68">
        <v>45574</v>
      </c>
      <c r="Q158" s="2" t="s">
        <v>1225</v>
      </c>
      <c r="R158" s="2" t="s">
        <v>109</v>
      </c>
      <c r="S158" s="2" t="s">
        <v>109</v>
      </c>
      <c r="T158" s="2" t="s">
        <v>109</v>
      </c>
      <c r="U158" s="2" t="s">
        <v>404</v>
      </c>
      <c r="V158" s="2" t="s">
        <v>3386</v>
      </c>
      <c r="W158" s="2" t="b">
        <v>0</v>
      </c>
      <c r="X158" s="2" t="s">
        <v>109</v>
      </c>
      <c r="Y158" s="2" t="s">
        <v>429</v>
      </c>
      <c r="AA158" s="2" t="s">
        <v>109</v>
      </c>
      <c r="AB158" s="2">
        <v>0.12</v>
      </c>
      <c r="AC158" s="2">
        <v>69</v>
      </c>
      <c r="AD158" s="2" t="s">
        <v>109</v>
      </c>
      <c r="AE158" s="2">
        <v>1.1000000000000001</v>
      </c>
      <c r="AF158" s="2" t="s">
        <v>3606</v>
      </c>
      <c r="AG158" s="3" t="s">
        <v>3570</v>
      </c>
      <c r="AH158" s="3" t="s">
        <v>3607</v>
      </c>
      <c r="AI158" s="2">
        <v>1</v>
      </c>
      <c r="AJ158" s="2" t="s">
        <v>3571</v>
      </c>
      <c r="AK158" s="2" t="s">
        <v>121</v>
      </c>
      <c r="AL158" s="2" t="s">
        <v>3027</v>
      </c>
      <c r="AM158" s="68">
        <v>43130</v>
      </c>
      <c r="AN158" s="2" t="s">
        <v>122</v>
      </c>
      <c r="AO158" s="2">
        <v>2021</v>
      </c>
      <c r="AP158" s="109" t="s">
        <v>109</v>
      </c>
      <c r="AQ158" s="2" t="b">
        <v>0</v>
      </c>
      <c r="AR158" s="2" t="s">
        <v>109</v>
      </c>
      <c r="AS158" s="2" t="s">
        <v>109</v>
      </c>
      <c r="AT158" s="2" t="s">
        <v>109</v>
      </c>
      <c r="AU158" s="2" t="b">
        <v>0</v>
      </c>
      <c r="AV158" s="2" t="s">
        <v>123</v>
      </c>
      <c r="AW158" s="2" t="s">
        <v>118</v>
      </c>
      <c r="AY158" s="2" t="s">
        <v>109</v>
      </c>
      <c r="AZ158" s="2" t="s">
        <v>109</v>
      </c>
      <c r="BA158" s="2" t="s">
        <v>226</v>
      </c>
      <c r="BB158" s="2" t="s">
        <v>118</v>
      </c>
      <c r="BC158" s="2" t="s">
        <v>135</v>
      </c>
      <c r="BD158" s="68" t="s">
        <v>109</v>
      </c>
      <c r="BE158" s="7" t="s">
        <v>109</v>
      </c>
      <c r="BF158" s="2" t="s">
        <v>109</v>
      </c>
      <c r="BG158" s="2" t="s">
        <v>126</v>
      </c>
      <c r="BH158" s="2" t="s">
        <v>109</v>
      </c>
      <c r="BI158" s="76">
        <v>44859</v>
      </c>
      <c r="BJ158" s="68">
        <v>44773</v>
      </c>
      <c r="BK158" s="76">
        <v>45590</v>
      </c>
      <c r="BL158" s="98" t="s">
        <v>109</v>
      </c>
      <c r="BM158" s="2" t="s">
        <v>109</v>
      </c>
      <c r="BN158" s="2" t="b">
        <v>1</v>
      </c>
      <c r="BO158" s="85" t="s">
        <v>118</v>
      </c>
      <c r="BP158" s="2" t="s">
        <v>128</v>
      </c>
      <c r="CF158" s="2" t="s">
        <v>460</v>
      </c>
      <c r="CS158" s="145"/>
      <c r="CU158" s="132" t="s">
        <v>3028</v>
      </c>
      <c r="CW158" s="2" t="s">
        <v>3608</v>
      </c>
      <c r="CX158" s="222" t="s">
        <v>3162</v>
      </c>
    </row>
    <row r="159" spans="1:102" x14ac:dyDescent="0.3">
      <c r="A159" s="4">
        <v>179</v>
      </c>
      <c r="B159" s="44" t="s">
        <v>1228</v>
      </c>
      <c r="C159" s="57" t="s">
        <v>109</v>
      </c>
      <c r="D159" s="57" t="s">
        <v>109</v>
      </c>
      <c r="E159" s="6" t="s">
        <v>109</v>
      </c>
      <c r="F159" s="46" t="s">
        <v>1229</v>
      </c>
      <c r="G159" s="4" t="s">
        <v>1080</v>
      </c>
      <c r="H159" s="4" t="s">
        <v>113</v>
      </c>
      <c r="I159" s="4" t="s">
        <v>109</v>
      </c>
      <c r="J159" s="4" t="s">
        <v>109</v>
      </c>
      <c r="K159" s="4" t="s">
        <v>114</v>
      </c>
      <c r="L159" s="4" t="s">
        <v>1074</v>
      </c>
      <c r="M159" s="4" t="s">
        <v>194</v>
      </c>
      <c r="N159" s="4" t="s">
        <v>109</v>
      </c>
      <c r="O159" s="4" t="s">
        <v>109</v>
      </c>
      <c r="Q159" s="4" t="s">
        <v>109</v>
      </c>
      <c r="R159" s="4" t="s">
        <v>109</v>
      </c>
      <c r="S159" s="4" t="s">
        <v>342</v>
      </c>
      <c r="T159" s="4" t="s">
        <v>109</v>
      </c>
      <c r="U159" s="4" t="s">
        <v>116</v>
      </c>
      <c r="V159" s="4" t="s">
        <v>3022</v>
      </c>
      <c r="W159" s="4" t="b">
        <v>0</v>
      </c>
      <c r="X159" s="4" t="s">
        <v>109</v>
      </c>
      <c r="Y159" s="4" t="s">
        <v>107</v>
      </c>
      <c r="AA159" s="4" t="s">
        <v>118</v>
      </c>
      <c r="AB159" s="4" t="s">
        <v>118</v>
      </c>
      <c r="AC159" s="4" t="s">
        <v>119</v>
      </c>
      <c r="AD159" s="4" t="s">
        <v>109</v>
      </c>
      <c r="AE159" s="4">
        <v>4.3</v>
      </c>
      <c r="AF159" s="4" t="s">
        <v>3023</v>
      </c>
      <c r="AG159" s="5" t="s">
        <v>3609</v>
      </c>
      <c r="AH159" s="5" t="s">
        <v>3025</v>
      </c>
      <c r="AI159" s="4">
        <v>53</v>
      </c>
      <c r="AJ159" s="4" t="s">
        <v>3610</v>
      </c>
      <c r="AK159" s="4" t="s">
        <v>121</v>
      </c>
      <c r="AL159" s="4" t="s">
        <v>3027</v>
      </c>
      <c r="AM159" s="69">
        <v>45594</v>
      </c>
      <c r="AN159" s="4" t="s">
        <v>122</v>
      </c>
      <c r="AO159" s="4" t="s">
        <v>109</v>
      </c>
      <c r="AP159" s="217" t="s">
        <v>109</v>
      </c>
      <c r="AQ159" s="4" t="b">
        <v>0</v>
      </c>
      <c r="AR159" s="4" t="s">
        <v>109</v>
      </c>
      <c r="AS159" s="4" t="s">
        <v>109</v>
      </c>
      <c r="AT159" s="4" t="s">
        <v>118</v>
      </c>
      <c r="AU159" s="4" t="b">
        <v>0</v>
      </c>
      <c r="AV159" s="4" t="s">
        <v>109</v>
      </c>
      <c r="AW159" s="4" t="s">
        <v>118</v>
      </c>
      <c r="AY159" s="4" t="s">
        <v>109</v>
      </c>
      <c r="AZ159" s="4" t="s">
        <v>109</v>
      </c>
      <c r="BA159" s="4" t="s">
        <v>118</v>
      </c>
      <c r="BB159" s="4" t="s">
        <v>118</v>
      </c>
      <c r="BC159" s="4" t="s">
        <v>109</v>
      </c>
      <c r="BD159" s="69" t="s">
        <v>109</v>
      </c>
      <c r="BE159" s="6" t="s">
        <v>109</v>
      </c>
      <c r="BF159" s="4" t="s">
        <v>109</v>
      </c>
      <c r="BG159" s="4" t="s">
        <v>296</v>
      </c>
      <c r="BH159" s="4" t="s">
        <v>109</v>
      </c>
      <c r="BI159" s="69" t="s">
        <v>109</v>
      </c>
      <c r="BJ159" s="69">
        <v>45657</v>
      </c>
      <c r="BK159" s="69" t="s">
        <v>109</v>
      </c>
      <c r="BL159" s="97" t="s">
        <v>109</v>
      </c>
      <c r="BM159" s="4" t="s">
        <v>109</v>
      </c>
      <c r="BN159" s="4" t="b">
        <v>1</v>
      </c>
      <c r="BO159" s="130" t="s">
        <v>118</v>
      </c>
      <c r="BP159" s="4" t="s">
        <v>128</v>
      </c>
      <c r="CF159" s="4" t="s">
        <v>966</v>
      </c>
      <c r="CS159" s="144"/>
      <c r="CU159" s="216" t="s">
        <v>3028</v>
      </c>
      <c r="CW159" s="4" t="s">
        <v>3029</v>
      </c>
      <c r="CX159" s="40"/>
    </row>
    <row r="160" spans="1:102" ht="52.8" x14ac:dyDescent="0.3">
      <c r="A160" s="2">
        <v>180</v>
      </c>
      <c r="B160" s="43" t="s">
        <v>1231</v>
      </c>
      <c r="C160" s="51">
        <v>32.713000000000001</v>
      </c>
      <c r="D160" s="51">
        <v>-117.131</v>
      </c>
      <c r="E160" s="2" t="s">
        <v>329</v>
      </c>
      <c r="F160" s="47" t="s">
        <v>1232</v>
      </c>
      <c r="G160" s="67" t="s">
        <v>1080</v>
      </c>
      <c r="H160" s="67" t="s">
        <v>113</v>
      </c>
      <c r="I160" s="67" t="s">
        <v>109</v>
      </c>
      <c r="J160" s="67" t="s">
        <v>109</v>
      </c>
      <c r="K160" s="67" t="s">
        <v>1073</v>
      </c>
      <c r="L160" s="67" t="s">
        <v>1074</v>
      </c>
      <c r="M160" s="67" t="s">
        <v>109</v>
      </c>
      <c r="N160" s="67" t="s">
        <v>109</v>
      </c>
      <c r="O160" s="68">
        <v>45586</v>
      </c>
      <c r="Q160" s="67" t="s">
        <v>109</v>
      </c>
      <c r="R160" s="67" t="s">
        <v>109</v>
      </c>
      <c r="S160" s="67" t="s">
        <v>109</v>
      </c>
      <c r="T160" s="67" t="s">
        <v>109</v>
      </c>
      <c r="U160" s="2" t="s">
        <v>116</v>
      </c>
      <c r="V160" s="2" t="s">
        <v>3022</v>
      </c>
      <c r="W160" s="2" t="b">
        <v>0</v>
      </c>
      <c r="X160" s="2" t="s">
        <v>109</v>
      </c>
      <c r="Y160" s="2" t="s">
        <v>107</v>
      </c>
      <c r="AA160" s="2" t="s">
        <v>109</v>
      </c>
      <c r="AB160" s="2" t="s">
        <v>118</v>
      </c>
      <c r="AC160" s="2" t="s">
        <v>109</v>
      </c>
      <c r="AD160" s="2" t="s">
        <v>109</v>
      </c>
      <c r="AE160" s="2">
        <v>4.3</v>
      </c>
      <c r="AF160" s="2" t="s">
        <v>3030</v>
      </c>
      <c r="AG160" s="3" t="s">
        <v>3609</v>
      </c>
      <c r="AH160" s="3" t="s">
        <v>3611</v>
      </c>
      <c r="AI160" s="2">
        <v>1</v>
      </c>
      <c r="AJ160" s="2" t="s">
        <v>3610</v>
      </c>
      <c r="AK160" s="2" t="s">
        <v>121</v>
      </c>
      <c r="AL160" s="2" t="s">
        <v>3027</v>
      </c>
      <c r="AM160" s="68">
        <v>44225</v>
      </c>
      <c r="AN160" s="2" t="s">
        <v>122</v>
      </c>
      <c r="AO160" s="2" t="s">
        <v>109</v>
      </c>
      <c r="AP160" s="109" t="s">
        <v>109</v>
      </c>
      <c r="AQ160" s="2" t="b">
        <v>0</v>
      </c>
      <c r="AR160" s="2" t="s">
        <v>109</v>
      </c>
      <c r="AS160" s="2" t="s">
        <v>109</v>
      </c>
      <c r="AT160" s="2" t="s">
        <v>118</v>
      </c>
      <c r="AU160" s="2" t="b">
        <v>0</v>
      </c>
      <c r="AV160" s="2" t="s">
        <v>109</v>
      </c>
      <c r="AW160" s="2" t="s">
        <v>109</v>
      </c>
      <c r="AY160" s="2" t="s">
        <v>109</v>
      </c>
      <c r="AZ160" s="2" t="s">
        <v>109</v>
      </c>
      <c r="BA160" s="2" t="s">
        <v>109</v>
      </c>
      <c r="BB160" s="2" t="s">
        <v>109</v>
      </c>
      <c r="BC160" s="2" t="s">
        <v>135</v>
      </c>
      <c r="BD160" s="2" t="s">
        <v>109</v>
      </c>
      <c r="BE160" s="2" t="s">
        <v>109</v>
      </c>
      <c r="BF160" s="2" t="s">
        <v>109</v>
      </c>
      <c r="BG160" s="2" t="s">
        <v>126</v>
      </c>
      <c r="BH160" s="2" t="s">
        <v>109</v>
      </c>
      <c r="BI160" s="68" t="s">
        <v>109</v>
      </c>
      <c r="BJ160" s="68">
        <v>44561</v>
      </c>
      <c r="BK160" s="68" t="s">
        <v>109</v>
      </c>
      <c r="BL160" s="98" t="s">
        <v>109</v>
      </c>
      <c r="BM160" s="98" t="s">
        <v>109</v>
      </c>
      <c r="BN160" s="2" t="b">
        <v>1</v>
      </c>
      <c r="BO160" s="85" t="s">
        <v>118</v>
      </c>
      <c r="BP160" s="2" t="s">
        <v>128</v>
      </c>
      <c r="CF160" s="2" t="s">
        <v>174</v>
      </c>
      <c r="CS160" s="142" t="s">
        <v>3612</v>
      </c>
      <c r="CU160" s="132" t="s">
        <v>3028</v>
      </c>
      <c r="CW160" s="2" t="s">
        <v>3613</v>
      </c>
      <c r="CX160" s="41"/>
    </row>
    <row r="161" spans="1:102" ht="26.4" x14ac:dyDescent="0.3">
      <c r="A161" s="4">
        <v>181</v>
      </c>
      <c r="B161" s="44" t="s">
        <v>1234</v>
      </c>
      <c r="C161" s="53">
        <v>32.814999999999998</v>
      </c>
      <c r="D161" s="53">
        <v>-117.09</v>
      </c>
      <c r="E161" s="4" t="s">
        <v>329</v>
      </c>
      <c r="F161" s="46" t="s">
        <v>1235</v>
      </c>
      <c r="G161" s="64" t="s">
        <v>355</v>
      </c>
      <c r="H161" s="6" t="s">
        <v>113</v>
      </c>
      <c r="I161" s="64" t="s">
        <v>146</v>
      </c>
      <c r="J161" s="64" t="s">
        <v>109</v>
      </c>
      <c r="K161" s="64" t="s">
        <v>1073</v>
      </c>
      <c r="L161" s="64" t="s">
        <v>1074</v>
      </c>
      <c r="M161" s="64" t="s">
        <v>109</v>
      </c>
      <c r="N161" s="64" t="s">
        <v>109</v>
      </c>
      <c r="O161" s="69">
        <v>45547</v>
      </c>
      <c r="Q161" s="64" t="s">
        <v>109</v>
      </c>
      <c r="R161" s="64" t="s">
        <v>109</v>
      </c>
      <c r="S161" s="64" t="s">
        <v>109</v>
      </c>
      <c r="T161" s="64" t="s">
        <v>109</v>
      </c>
      <c r="U161" s="4" t="s">
        <v>116</v>
      </c>
      <c r="V161" s="4" t="s">
        <v>3022</v>
      </c>
      <c r="W161" s="4" t="b">
        <v>0</v>
      </c>
      <c r="X161" s="4" t="s">
        <v>109</v>
      </c>
      <c r="Y161" s="4" t="s">
        <v>3047</v>
      </c>
      <c r="AA161" s="4" t="s">
        <v>109</v>
      </c>
      <c r="AB161" s="4">
        <v>0.8</v>
      </c>
      <c r="AC161" s="4">
        <v>69</v>
      </c>
      <c r="AD161" s="4" t="s">
        <v>109</v>
      </c>
      <c r="AE161" s="4">
        <v>4.3</v>
      </c>
      <c r="AF161" s="4" t="s">
        <v>3614</v>
      </c>
      <c r="AG161" s="5" t="s">
        <v>3609</v>
      </c>
      <c r="AH161" s="5" t="s">
        <v>3615</v>
      </c>
      <c r="AI161" s="4">
        <v>1</v>
      </c>
      <c r="AJ161" s="4" t="s">
        <v>3610</v>
      </c>
      <c r="AK161" s="4" t="s">
        <v>121</v>
      </c>
      <c r="AL161" s="4" t="s">
        <v>3027</v>
      </c>
      <c r="AM161" s="69">
        <v>44533</v>
      </c>
      <c r="AN161" s="4" t="s">
        <v>122</v>
      </c>
      <c r="AO161" s="4" t="s">
        <v>109</v>
      </c>
      <c r="AP161" s="217" t="s">
        <v>109</v>
      </c>
      <c r="AQ161" s="4" t="b">
        <v>0</v>
      </c>
      <c r="AR161" s="4" t="s">
        <v>109</v>
      </c>
      <c r="AS161" s="4" t="s">
        <v>109</v>
      </c>
      <c r="AT161" s="4" t="s">
        <v>118</v>
      </c>
      <c r="AU161" s="4" t="b">
        <v>0</v>
      </c>
      <c r="AV161" s="4" t="s">
        <v>109</v>
      </c>
      <c r="AW161" s="4" t="s">
        <v>109</v>
      </c>
      <c r="AY161" s="4" t="s">
        <v>109</v>
      </c>
      <c r="AZ161" s="4" t="s">
        <v>109</v>
      </c>
      <c r="BA161" s="4" t="s">
        <v>109</v>
      </c>
      <c r="BB161" s="4" t="s">
        <v>109</v>
      </c>
      <c r="BC161" s="4" t="s">
        <v>135</v>
      </c>
      <c r="BD161" s="4" t="s">
        <v>109</v>
      </c>
      <c r="BE161" s="4" t="s">
        <v>109</v>
      </c>
      <c r="BF161" s="4" t="s">
        <v>109</v>
      </c>
      <c r="BG161" s="4" t="s">
        <v>126</v>
      </c>
      <c r="BH161" s="4" t="s">
        <v>109</v>
      </c>
      <c r="BI161" s="69">
        <v>44908</v>
      </c>
      <c r="BJ161" s="69">
        <v>44926</v>
      </c>
      <c r="BK161" s="69">
        <v>45033</v>
      </c>
      <c r="BL161" s="97" t="s">
        <v>109</v>
      </c>
      <c r="BM161" s="97" t="s">
        <v>109</v>
      </c>
      <c r="BN161" s="97" t="b">
        <v>0</v>
      </c>
      <c r="BO161" s="130" t="s">
        <v>118</v>
      </c>
      <c r="BP161" s="4" t="s">
        <v>128</v>
      </c>
      <c r="CF161" s="4" t="s">
        <v>2264</v>
      </c>
      <c r="CS161" s="143" t="s">
        <v>3616</v>
      </c>
      <c r="CU161" s="216" t="s">
        <v>3028</v>
      </c>
      <c r="CW161" s="4" t="s">
        <v>3617</v>
      </c>
      <c r="CX161" s="40"/>
    </row>
    <row r="162" spans="1:102" ht="39.6" x14ac:dyDescent="0.3">
      <c r="A162" s="2">
        <v>182</v>
      </c>
      <c r="B162" s="43" t="s">
        <v>1238</v>
      </c>
      <c r="C162" s="51">
        <v>32.755000000000003</v>
      </c>
      <c r="D162" s="51">
        <v>-117.126</v>
      </c>
      <c r="E162" s="2" t="s">
        <v>329</v>
      </c>
      <c r="F162" s="47" t="s">
        <v>1239</v>
      </c>
      <c r="G162" s="67" t="s">
        <v>1080</v>
      </c>
      <c r="H162" s="2" t="s">
        <v>113</v>
      </c>
      <c r="I162" s="2" t="s">
        <v>112</v>
      </c>
      <c r="J162" s="2" t="s">
        <v>109</v>
      </c>
      <c r="K162" s="2" t="s">
        <v>1073</v>
      </c>
      <c r="L162" s="2" t="s">
        <v>1074</v>
      </c>
      <c r="M162" s="77" t="s">
        <v>109</v>
      </c>
      <c r="N162" s="2" t="s">
        <v>109</v>
      </c>
      <c r="O162" s="68">
        <v>45545</v>
      </c>
      <c r="Q162" s="2" t="s">
        <v>109</v>
      </c>
      <c r="R162" s="2" t="s">
        <v>109</v>
      </c>
      <c r="S162" s="2" t="s">
        <v>109</v>
      </c>
      <c r="T162" s="2" t="s">
        <v>109</v>
      </c>
      <c r="U162" s="2" t="s">
        <v>116</v>
      </c>
      <c r="V162" s="2" t="s">
        <v>3022</v>
      </c>
      <c r="W162" s="2" t="b">
        <v>0</v>
      </c>
      <c r="X162" s="2" t="s">
        <v>109</v>
      </c>
      <c r="Y162" s="2" t="s">
        <v>107</v>
      </c>
      <c r="AA162" s="2" t="s">
        <v>109</v>
      </c>
      <c r="AB162" s="2">
        <v>0.7</v>
      </c>
      <c r="AC162" s="2" t="s">
        <v>1240</v>
      </c>
      <c r="AD162" s="2" t="s">
        <v>373</v>
      </c>
      <c r="AE162" s="2">
        <v>4.3</v>
      </c>
      <c r="AF162" s="2" t="s">
        <v>3618</v>
      </c>
      <c r="AG162" s="3" t="s">
        <v>3609</v>
      </c>
      <c r="AH162" s="3" t="s">
        <v>3619</v>
      </c>
      <c r="AI162" s="2">
        <v>1</v>
      </c>
      <c r="AJ162" s="2" t="s">
        <v>3610</v>
      </c>
      <c r="AK162" s="2" t="s">
        <v>121</v>
      </c>
      <c r="AL162" s="2" t="s">
        <v>3027</v>
      </c>
      <c r="AM162" s="68">
        <v>44537</v>
      </c>
      <c r="AN162" s="2" t="s">
        <v>122</v>
      </c>
      <c r="AO162" s="2" t="s">
        <v>109</v>
      </c>
      <c r="AP162" s="109" t="s">
        <v>109</v>
      </c>
      <c r="AQ162" s="2" t="b">
        <v>0</v>
      </c>
      <c r="AR162" s="2" t="s">
        <v>109</v>
      </c>
      <c r="AS162" s="2" t="s">
        <v>109</v>
      </c>
      <c r="AT162" s="2" t="s">
        <v>118</v>
      </c>
      <c r="AU162" s="2" t="b">
        <v>0</v>
      </c>
      <c r="AV162" s="2" t="s">
        <v>109</v>
      </c>
      <c r="AW162" s="2" t="s">
        <v>109</v>
      </c>
      <c r="AY162" s="2" t="s">
        <v>109</v>
      </c>
      <c r="AZ162" s="2" t="s">
        <v>109</v>
      </c>
      <c r="BA162" s="2" t="s">
        <v>109</v>
      </c>
      <c r="BB162" s="2" t="s">
        <v>109</v>
      </c>
      <c r="BC162" s="2" t="s">
        <v>135</v>
      </c>
      <c r="BD162" s="2" t="s">
        <v>109</v>
      </c>
      <c r="BE162" s="2" t="s">
        <v>109</v>
      </c>
      <c r="BF162" s="2" t="s">
        <v>109</v>
      </c>
      <c r="BG162" s="2" t="s">
        <v>126</v>
      </c>
      <c r="BH162" s="2" t="s">
        <v>109</v>
      </c>
      <c r="BI162" s="68">
        <v>44908</v>
      </c>
      <c r="BJ162" s="68">
        <v>45107</v>
      </c>
      <c r="BK162" s="68">
        <v>45272</v>
      </c>
      <c r="BL162" s="98" t="s">
        <v>109</v>
      </c>
      <c r="BM162" s="2" t="s">
        <v>109</v>
      </c>
      <c r="BN162" s="2" t="b">
        <v>1</v>
      </c>
      <c r="BO162" s="85" t="s">
        <v>118</v>
      </c>
      <c r="BP162" s="2" t="s">
        <v>128</v>
      </c>
      <c r="CF162" s="2" t="s">
        <v>2295</v>
      </c>
      <c r="CS162" s="142" t="s">
        <v>3620</v>
      </c>
      <c r="CU162" s="132" t="s">
        <v>3028</v>
      </c>
      <c r="CW162" s="2" t="s">
        <v>3621</v>
      </c>
      <c r="CX162" s="41"/>
    </row>
    <row r="163" spans="1:102" ht="66" x14ac:dyDescent="0.3">
      <c r="A163" s="4">
        <v>183</v>
      </c>
      <c r="B163" s="44" t="s">
        <v>3622</v>
      </c>
      <c r="C163" s="53">
        <v>32.798999999999999</v>
      </c>
      <c r="D163" s="53">
        <v>-117.24</v>
      </c>
      <c r="E163" s="4" t="s">
        <v>329</v>
      </c>
      <c r="F163" s="46" t="s">
        <v>1247</v>
      </c>
      <c r="G163" s="64" t="s">
        <v>1080</v>
      </c>
      <c r="H163" s="64" t="s">
        <v>146</v>
      </c>
      <c r="I163" s="64" t="s">
        <v>146</v>
      </c>
      <c r="J163" s="64" t="s">
        <v>109</v>
      </c>
      <c r="K163" s="64" t="s">
        <v>1073</v>
      </c>
      <c r="L163" s="64" t="s">
        <v>1074</v>
      </c>
      <c r="M163" s="64" t="s">
        <v>109</v>
      </c>
      <c r="N163" s="64" t="s">
        <v>109</v>
      </c>
      <c r="O163" s="69">
        <v>45538</v>
      </c>
      <c r="Q163" s="64" t="s">
        <v>109</v>
      </c>
      <c r="R163" s="64" t="s">
        <v>109</v>
      </c>
      <c r="S163" s="64" t="s">
        <v>109</v>
      </c>
      <c r="T163" s="64" t="s">
        <v>109</v>
      </c>
      <c r="U163" s="4" t="s">
        <v>116</v>
      </c>
      <c r="V163" s="4" t="s">
        <v>3022</v>
      </c>
      <c r="W163" s="4" t="b">
        <v>0</v>
      </c>
      <c r="X163" s="4" t="s">
        <v>109</v>
      </c>
      <c r="Y163" s="4" t="s">
        <v>3623</v>
      </c>
      <c r="AA163" s="4" t="s">
        <v>109</v>
      </c>
      <c r="AB163" s="4">
        <v>0.35</v>
      </c>
      <c r="AC163" s="4" t="s">
        <v>109</v>
      </c>
      <c r="AD163" s="4" t="s">
        <v>109</v>
      </c>
      <c r="AE163" s="4">
        <v>4.3</v>
      </c>
      <c r="AF163" s="4" t="s">
        <v>3624</v>
      </c>
      <c r="AG163" s="5" t="s">
        <v>3609</v>
      </c>
      <c r="AH163" s="5" t="s">
        <v>3625</v>
      </c>
      <c r="AI163" s="4">
        <v>1</v>
      </c>
      <c r="AJ163" s="4" t="s">
        <v>3610</v>
      </c>
      <c r="AK163" s="4" t="s">
        <v>121</v>
      </c>
      <c r="AL163" s="4" t="s">
        <v>3027</v>
      </c>
      <c r="AM163" s="69">
        <v>44295</v>
      </c>
      <c r="AN163" s="4" t="s">
        <v>122</v>
      </c>
      <c r="AO163" s="4" t="s">
        <v>109</v>
      </c>
      <c r="AP163" s="217" t="s">
        <v>109</v>
      </c>
      <c r="AQ163" s="4" t="b">
        <v>0</v>
      </c>
      <c r="AR163" s="4" t="s">
        <v>109</v>
      </c>
      <c r="AS163" s="4" t="s">
        <v>109</v>
      </c>
      <c r="AT163" s="4" t="s">
        <v>118</v>
      </c>
      <c r="AU163" s="4" t="b">
        <v>0</v>
      </c>
      <c r="AV163" s="4" t="s">
        <v>109</v>
      </c>
      <c r="AW163" s="4" t="s">
        <v>109</v>
      </c>
      <c r="AY163" s="4" t="s">
        <v>109</v>
      </c>
      <c r="AZ163" s="4" t="s">
        <v>109</v>
      </c>
      <c r="BA163" s="4" t="s">
        <v>109</v>
      </c>
      <c r="BB163" s="4" t="s">
        <v>109</v>
      </c>
      <c r="BC163" s="4" t="s">
        <v>135</v>
      </c>
      <c r="BD163" s="4" t="s">
        <v>109</v>
      </c>
      <c r="BE163" s="4" t="s">
        <v>109</v>
      </c>
      <c r="BF163" s="4" t="s">
        <v>109</v>
      </c>
      <c r="BG163" s="4" t="s">
        <v>126</v>
      </c>
      <c r="BH163" s="4" t="s">
        <v>109</v>
      </c>
      <c r="BI163" s="69">
        <v>44496</v>
      </c>
      <c r="BJ163" s="69">
        <v>44712</v>
      </c>
      <c r="BK163" s="69">
        <v>44903</v>
      </c>
      <c r="BL163" s="97" t="s">
        <v>240</v>
      </c>
      <c r="BM163" s="97" t="s">
        <v>109</v>
      </c>
      <c r="BN163" s="4" t="b">
        <v>1</v>
      </c>
      <c r="BO163" s="130" t="s">
        <v>118</v>
      </c>
      <c r="BP163" s="4" t="s">
        <v>128</v>
      </c>
      <c r="CF163" s="4" t="s">
        <v>174</v>
      </c>
      <c r="CS163" s="143" t="s">
        <v>3626</v>
      </c>
      <c r="CU163" s="216" t="s">
        <v>3028</v>
      </c>
      <c r="CW163" s="4" t="s">
        <v>3627</v>
      </c>
      <c r="CX163" s="39"/>
    </row>
    <row r="164" spans="1:102" ht="39.6" x14ac:dyDescent="0.3">
      <c r="A164" s="2">
        <v>184</v>
      </c>
      <c r="B164" s="43" t="s">
        <v>1252</v>
      </c>
      <c r="C164" s="51">
        <v>33.128999999999998</v>
      </c>
      <c r="D164" s="51">
        <v>-117.197</v>
      </c>
      <c r="E164" s="2" t="s">
        <v>1253</v>
      </c>
      <c r="F164" s="47" t="s">
        <v>1254</v>
      </c>
      <c r="G164" s="67" t="s">
        <v>1080</v>
      </c>
      <c r="H164" s="67" t="s">
        <v>146</v>
      </c>
      <c r="I164" s="67" t="s">
        <v>113</v>
      </c>
      <c r="J164" s="67" t="s">
        <v>109</v>
      </c>
      <c r="K164" s="67" t="s">
        <v>1073</v>
      </c>
      <c r="L164" s="67" t="s">
        <v>1074</v>
      </c>
      <c r="M164" s="67" t="s">
        <v>109</v>
      </c>
      <c r="N164" s="67" t="s">
        <v>109</v>
      </c>
      <c r="O164" s="68">
        <v>45582</v>
      </c>
      <c r="Q164" s="67" t="s">
        <v>109</v>
      </c>
      <c r="R164" s="67" t="s">
        <v>109</v>
      </c>
      <c r="S164" s="67" t="s">
        <v>109</v>
      </c>
      <c r="T164" s="67" t="s">
        <v>109</v>
      </c>
      <c r="U164" s="2" t="s">
        <v>116</v>
      </c>
      <c r="V164" s="2" t="s">
        <v>3022</v>
      </c>
      <c r="W164" s="2" t="b">
        <v>0</v>
      </c>
      <c r="X164" s="2" t="s">
        <v>109</v>
      </c>
      <c r="Y164" s="2" t="s">
        <v>3300</v>
      </c>
      <c r="AA164" s="2" t="s">
        <v>109</v>
      </c>
      <c r="AB164" s="2">
        <v>1.59</v>
      </c>
      <c r="AC164" s="2">
        <v>69</v>
      </c>
      <c r="AD164" s="2" t="s">
        <v>148</v>
      </c>
      <c r="AE164" s="2">
        <v>4.3</v>
      </c>
      <c r="AF164" s="2" t="s">
        <v>3628</v>
      </c>
      <c r="AG164" s="3" t="s">
        <v>3609</v>
      </c>
      <c r="AH164" s="3" t="s">
        <v>3629</v>
      </c>
      <c r="AI164" s="2">
        <v>1</v>
      </c>
      <c r="AJ164" s="2" t="s">
        <v>3610</v>
      </c>
      <c r="AK164" s="2" t="s">
        <v>121</v>
      </c>
      <c r="AL164" s="2" t="s">
        <v>3027</v>
      </c>
      <c r="AM164" s="68">
        <v>44398</v>
      </c>
      <c r="AN164" s="2" t="s">
        <v>122</v>
      </c>
      <c r="AO164" s="2" t="s">
        <v>109</v>
      </c>
      <c r="AP164" s="109" t="s">
        <v>109</v>
      </c>
      <c r="AQ164" s="2" t="b">
        <v>0</v>
      </c>
      <c r="AR164" s="2" t="s">
        <v>109</v>
      </c>
      <c r="AS164" s="2" t="s">
        <v>109</v>
      </c>
      <c r="AT164" s="2" t="s">
        <v>118</v>
      </c>
      <c r="AU164" s="2" t="b">
        <v>0</v>
      </c>
      <c r="AV164" s="2" t="s">
        <v>109</v>
      </c>
      <c r="AW164" s="2" t="s">
        <v>109</v>
      </c>
      <c r="AY164" s="2" t="s">
        <v>109</v>
      </c>
      <c r="AZ164" s="2" t="s">
        <v>109</v>
      </c>
      <c r="BA164" s="2" t="s">
        <v>109</v>
      </c>
      <c r="BB164" s="2" t="s">
        <v>109</v>
      </c>
      <c r="BC164" s="2" t="s">
        <v>135</v>
      </c>
      <c r="BD164" s="2" t="s">
        <v>109</v>
      </c>
      <c r="BE164" s="2" t="s">
        <v>109</v>
      </c>
      <c r="BF164" s="2" t="s">
        <v>109</v>
      </c>
      <c r="BG164" s="2" t="s">
        <v>126</v>
      </c>
      <c r="BH164" s="2" t="s">
        <v>109</v>
      </c>
      <c r="BI164" s="68">
        <v>44494</v>
      </c>
      <c r="BJ164" s="68">
        <v>44926</v>
      </c>
      <c r="BK164" s="68">
        <v>45357</v>
      </c>
      <c r="BL164" s="98" t="s">
        <v>109</v>
      </c>
      <c r="BM164" s="98" t="s">
        <v>109</v>
      </c>
      <c r="BN164" s="2" t="b">
        <v>1</v>
      </c>
      <c r="BO164" s="85" t="s">
        <v>118</v>
      </c>
      <c r="BP164" s="2" t="s">
        <v>128</v>
      </c>
      <c r="CF164" s="2" t="s">
        <v>2295</v>
      </c>
      <c r="CS164" s="142" t="s">
        <v>3620</v>
      </c>
      <c r="CU164" s="132" t="s">
        <v>3028</v>
      </c>
      <c r="CW164" s="2" t="s">
        <v>3630</v>
      </c>
      <c r="CX164" s="38"/>
    </row>
    <row r="165" spans="1:102" ht="26.4" x14ac:dyDescent="0.3">
      <c r="A165" s="4">
        <v>185</v>
      </c>
      <c r="B165" s="44" t="s">
        <v>1260</v>
      </c>
      <c r="C165" s="57" t="s">
        <v>109</v>
      </c>
      <c r="D165" s="57" t="s">
        <v>109</v>
      </c>
      <c r="E165" s="4" t="s">
        <v>191</v>
      </c>
      <c r="F165" s="46" t="s">
        <v>1261</v>
      </c>
      <c r="G165" s="64" t="s">
        <v>111</v>
      </c>
      <c r="H165" s="64" t="s">
        <v>240</v>
      </c>
      <c r="I165" s="64" t="s">
        <v>109</v>
      </c>
      <c r="J165" s="64" t="s">
        <v>109</v>
      </c>
      <c r="K165" s="64" t="s">
        <v>1073</v>
      </c>
      <c r="L165" s="64" t="s">
        <v>1074</v>
      </c>
      <c r="M165" s="64" t="s">
        <v>109</v>
      </c>
      <c r="N165" s="64" t="s">
        <v>109</v>
      </c>
      <c r="O165" s="4" t="s">
        <v>109</v>
      </c>
      <c r="Q165" s="64" t="s">
        <v>109</v>
      </c>
      <c r="R165" s="64" t="s">
        <v>109</v>
      </c>
      <c r="S165" s="64" t="s">
        <v>109</v>
      </c>
      <c r="T165" s="64" t="s">
        <v>109</v>
      </c>
      <c r="U165" s="4" t="s">
        <v>116</v>
      </c>
      <c r="V165" s="6" t="s">
        <v>3022</v>
      </c>
      <c r="W165" s="4" t="b">
        <v>0</v>
      </c>
      <c r="X165" s="6" t="s">
        <v>109</v>
      </c>
      <c r="Y165" s="6" t="s">
        <v>107</v>
      </c>
      <c r="AA165" s="4" t="s">
        <v>109</v>
      </c>
      <c r="AB165" s="4" t="s">
        <v>118</v>
      </c>
      <c r="AC165" s="4" t="s">
        <v>109</v>
      </c>
      <c r="AD165" s="4" t="s">
        <v>109</v>
      </c>
      <c r="AE165" s="4">
        <v>4.3</v>
      </c>
      <c r="AF165" s="4" t="s">
        <v>3030</v>
      </c>
      <c r="AG165" s="5" t="s">
        <v>3609</v>
      </c>
      <c r="AH165" s="5" t="s">
        <v>3631</v>
      </c>
      <c r="AI165" s="4">
        <v>1</v>
      </c>
      <c r="AJ165" s="4" t="s">
        <v>3610</v>
      </c>
      <c r="AK165" s="4" t="s">
        <v>121</v>
      </c>
      <c r="AL165" s="4" t="s">
        <v>3027</v>
      </c>
      <c r="AM165" s="69">
        <v>45594</v>
      </c>
      <c r="AN165" s="4" t="s">
        <v>122</v>
      </c>
      <c r="AO165" s="4" t="s">
        <v>109</v>
      </c>
      <c r="AP165" s="217" t="s">
        <v>109</v>
      </c>
      <c r="AQ165" s="4" t="b">
        <v>0</v>
      </c>
      <c r="AR165" s="4" t="s">
        <v>109</v>
      </c>
      <c r="AS165" s="4" t="s">
        <v>109</v>
      </c>
      <c r="AT165" s="4" t="s">
        <v>118</v>
      </c>
      <c r="AU165" s="4" t="b">
        <v>0</v>
      </c>
      <c r="AV165" s="4" t="s">
        <v>109</v>
      </c>
      <c r="AW165" s="4" t="s">
        <v>109</v>
      </c>
      <c r="AY165" s="4" t="s">
        <v>109</v>
      </c>
      <c r="AZ165" s="4" t="s">
        <v>109</v>
      </c>
      <c r="BA165" s="4" t="s">
        <v>109</v>
      </c>
      <c r="BB165" s="4" t="s">
        <v>109</v>
      </c>
      <c r="BC165" s="6" t="s">
        <v>135</v>
      </c>
      <c r="BD165" s="69" t="s">
        <v>109</v>
      </c>
      <c r="BE165" s="6" t="s">
        <v>109</v>
      </c>
      <c r="BF165" s="4" t="s">
        <v>109</v>
      </c>
      <c r="BG165" s="4" t="s">
        <v>980</v>
      </c>
      <c r="BH165" s="4" t="s">
        <v>109</v>
      </c>
      <c r="BI165" s="69" t="s">
        <v>109</v>
      </c>
      <c r="BJ165" s="69">
        <v>45657</v>
      </c>
      <c r="BK165" s="69" t="s">
        <v>109</v>
      </c>
      <c r="BL165" s="97" t="s">
        <v>109</v>
      </c>
      <c r="BM165" s="97" t="s">
        <v>109</v>
      </c>
      <c r="BN165" s="97" t="b">
        <v>0</v>
      </c>
      <c r="BO165" s="130" t="s">
        <v>118</v>
      </c>
      <c r="BP165" s="4" t="s">
        <v>128</v>
      </c>
      <c r="CF165" s="4" t="s">
        <v>807</v>
      </c>
      <c r="CS165" s="143" t="s">
        <v>1262</v>
      </c>
      <c r="CU165" s="216" t="s">
        <v>3028</v>
      </c>
      <c r="CW165" s="4" t="s">
        <v>3029</v>
      </c>
      <c r="CX165" s="39"/>
    </row>
    <row r="166" spans="1:102" x14ac:dyDescent="0.3">
      <c r="A166" s="2">
        <v>186</v>
      </c>
      <c r="B166" s="109" t="s">
        <v>3632</v>
      </c>
      <c r="C166" s="55"/>
      <c r="D166" s="2"/>
      <c r="E166" s="2"/>
      <c r="F166" s="47"/>
      <c r="G166" s="67"/>
      <c r="H166" s="67"/>
      <c r="I166" s="67"/>
      <c r="J166" s="67"/>
      <c r="K166" s="67"/>
      <c r="L166" s="67"/>
      <c r="M166" s="67"/>
      <c r="N166" s="67"/>
      <c r="O166" s="67"/>
      <c r="Q166" s="67"/>
      <c r="R166" s="67"/>
      <c r="S166" s="67"/>
      <c r="T166" s="67"/>
      <c r="U166" s="86"/>
      <c r="V166" s="2"/>
      <c r="W166" s="2"/>
      <c r="X166" s="2"/>
      <c r="Y166" s="2" t="s">
        <v>3633</v>
      </c>
      <c r="AA166" s="2"/>
      <c r="AB166" s="2"/>
      <c r="AC166" s="2"/>
      <c r="AD166" s="90"/>
      <c r="AE166" s="2"/>
      <c r="AF166" s="2" t="s">
        <v>3634</v>
      </c>
      <c r="AG166" s="3" t="s">
        <v>3609</v>
      </c>
      <c r="AH166" s="3" t="s">
        <v>3635</v>
      </c>
      <c r="AI166" s="2"/>
      <c r="AJ166" s="2" t="s">
        <v>3610</v>
      </c>
      <c r="AK166" s="2"/>
      <c r="AL166" s="2" t="s">
        <v>3053</v>
      </c>
      <c r="AM166" s="68"/>
      <c r="AN166" s="90"/>
      <c r="AO166" s="2"/>
      <c r="AP166" s="109"/>
      <c r="AQ166" s="2"/>
      <c r="AR166" s="2"/>
      <c r="AS166" s="2"/>
      <c r="AT166" s="2"/>
      <c r="AU166" s="90"/>
      <c r="AV166" s="2"/>
      <c r="AW166" s="2"/>
      <c r="AY166" s="2"/>
      <c r="AZ166" s="2"/>
      <c r="BA166" s="2"/>
      <c r="BB166" s="2"/>
      <c r="BC166" s="2" t="s">
        <v>135</v>
      </c>
      <c r="BD166" s="2"/>
      <c r="BE166" s="2"/>
      <c r="BF166" s="2"/>
      <c r="BG166" s="2"/>
      <c r="BH166" s="2"/>
      <c r="BI166" s="68">
        <v>45449</v>
      </c>
      <c r="BJ166" s="68"/>
      <c r="BK166" s="68">
        <v>45744</v>
      </c>
      <c r="BL166" s="98"/>
      <c r="BM166" s="2"/>
      <c r="BN166" s="2"/>
      <c r="BO166" s="90"/>
      <c r="BP166" s="2"/>
      <c r="CF166" s="2"/>
      <c r="CS166" s="146"/>
      <c r="CU166" s="132" t="s">
        <v>3028</v>
      </c>
      <c r="CW166" s="2" t="s">
        <v>3636</v>
      </c>
      <c r="CX166" s="38"/>
    </row>
    <row r="167" spans="1:102" x14ac:dyDescent="0.3">
      <c r="A167" s="4">
        <v>187</v>
      </c>
      <c r="B167" s="217" t="s">
        <v>3637</v>
      </c>
      <c r="C167" s="56"/>
      <c r="D167" s="4"/>
      <c r="E167" s="4"/>
      <c r="F167" s="46"/>
      <c r="G167" s="64"/>
      <c r="H167" s="64"/>
      <c r="I167" s="64"/>
      <c r="J167" s="64"/>
      <c r="K167" s="64"/>
      <c r="L167" s="64"/>
      <c r="M167" s="64"/>
      <c r="N167" s="64"/>
      <c r="O167" s="64"/>
      <c r="Q167" s="64"/>
      <c r="R167" s="64"/>
      <c r="S167" s="64"/>
      <c r="T167" s="64"/>
      <c r="U167" s="87"/>
      <c r="V167" s="4"/>
      <c r="W167" s="4"/>
      <c r="X167" s="4"/>
      <c r="Y167" s="4" t="s">
        <v>3633</v>
      </c>
      <c r="AA167" s="4"/>
      <c r="AB167" s="4"/>
      <c r="AC167" s="4"/>
      <c r="AD167" s="91"/>
      <c r="AE167" s="4"/>
      <c r="AF167" s="4" t="s">
        <v>3638</v>
      </c>
      <c r="AG167" s="5" t="s">
        <v>3609</v>
      </c>
      <c r="AH167" s="5" t="s">
        <v>3639</v>
      </c>
      <c r="AI167" s="4"/>
      <c r="AJ167" s="4" t="s">
        <v>3610</v>
      </c>
      <c r="AK167" s="4"/>
      <c r="AL167" s="4" t="s">
        <v>3053</v>
      </c>
      <c r="AM167" s="69"/>
      <c r="AN167" s="91"/>
      <c r="AO167" s="4"/>
      <c r="AP167" s="217"/>
      <c r="AQ167" s="4"/>
      <c r="AR167" s="4"/>
      <c r="AS167" s="4"/>
      <c r="AT167" s="4"/>
      <c r="AU167" s="91"/>
      <c r="AV167" s="4"/>
      <c r="AW167" s="4"/>
      <c r="AY167" s="4"/>
      <c r="AZ167" s="4"/>
      <c r="BA167" s="4"/>
      <c r="BB167" s="4"/>
      <c r="BC167" s="4" t="s">
        <v>135</v>
      </c>
      <c r="BD167" s="4"/>
      <c r="BE167" s="4"/>
      <c r="BF167" s="4"/>
      <c r="BG167" s="4"/>
      <c r="BH167" s="4"/>
      <c r="BI167" s="69">
        <v>45509</v>
      </c>
      <c r="BJ167" s="69"/>
      <c r="BK167" s="69">
        <v>45678</v>
      </c>
      <c r="BL167" s="97"/>
      <c r="BM167" s="4"/>
      <c r="BN167" s="4"/>
      <c r="BO167" s="91"/>
      <c r="BP167" s="4"/>
      <c r="CF167" s="4"/>
      <c r="CS167" s="147"/>
      <c r="CU167" s="216" t="s">
        <v>3028</v>
      </c>
      <c r="CW167" s="4" t="s">
        <v>3640</v>
      </c>
      <c r="CX167" s="40"/>
    </row>
    <row r="168" spans="1:102" x14ac:dyDescent="0.3">
      <c r="A168" s="2">
        <v>188</v>
      </c>
      <c r="B168" s="109" t="s">
        <v>3641</v>
      </c>
      <c r="C168" s="55"/>
      <c r="D168" s="2"/>
      <c r="E168" s="2"/>
      <c r="F168" s="47"/>
      <c r="G168" s="67"/>
      <c r="H168" s="67"/>
      <c r="I168" s="67"/>
      <c r="J168" s="67"/>
      <c r="K168" s="67"/>
      <c r="L168" s="67"/>
      <c r="M168" s="67"/>
      <c r="N168" s="67"/>
      <c r="O168" s="67"/>
      <c r="Q168" s="67"/>
      <c r="R168" s="67"/>
      <c r="S168" s="67"/>
      <c r="T168" s="67"/>
      <c r="U168" s="86"/>
      <c r="V168" s="2"/>
      <c r="W168" s="2"/>
      <c r="X168" s="2"/>
      <c r="Y168" s="2" t="s">
        <v>3633</v>
      </c>
      <c r="AA168" s="2"/>
      <c r="AB168" s="2"/>
      <c r="AC168" s="2"/>
      <c r="AD168" s="90"/>
      <c r="AE168" s="2"/>
      <c r="AF168" s="2" t="s">
        <v>3051</v>
      </c>
      <c r="AG168" s="3" t="s">
        <v>3609</v>
      </c>
      <c r="AH168" s="3" t="s">
        <v>3642</v>
      </c>
      <c r="AI168" s="2"/>
      <c r="AJ168" s="2" t="s">
        <v>3610</v>
      </c>
      <c r="AK168" s="2"/>
      <c r="AL168" s="2" t="s">
        <v>3053</v>
      </c>
      <c r="AM168" s="68"/>
      <c r="AN168" s="90"/>
      <c r="AO168" s="2"/>
      <c r="AP168" s="109"/>
      <c r="AQ168" s="2"/>
      <c r="AR168" s="2"/>
      <c r="AS168" s="2"/>
      <c r="AT168" s="2"/>
      <c r="AU168" s="90"/>
      <c r="AV168" s="2"/>
      <c r="AW168" s="2"/>
      <c r="AY168" s="2"/>
      <c r="AZ168" s="2"/>
      <c r="BA168" s="2"/>
      <c r="BB168" s="2"/>
      <c r="BC168" s="2"/>
      <c r="BD168" s="2"/>
      <c r="BE168" s="2"/>
      <c r="BF168" s="2"/>
      <c r="BG168" s="2"/>
      <c r="BH168" s="2"/>
      <c r="BI168" s="68"/>
      <c r="BJ168" s="68"/>
      <c r="BK168" s="68"/>
      <c r="BL168" s="98"/>
      <c r="BM168" s="2"/>
      <c r="BN168" s="2"/>
      <c r="BO168" s="90"/>
      <c r="BP168" s="2"/>
      <c r="CF168" s="2"/>
      <c r="CS168" s="146"/>
      <c r="CU168" s="132" t="s">
        <v>3028</v>
      </c>
      <c r="CW168" s="2" t="s">
        <v>3054</v>
      </c>
      <c r="CX168" s="38"/>
    </row>
    <row r="169" spans="1:102" x14ac:dyDescent="0.3">
      <c r="A169" s="4">
        <v>189</v>
      </c>
      <c r="B169" s="217" t="s">
        <v>3643</v>
      </c>
      <c r="C169" s="56"/>
      <c r="D169" s="4"/>
      <c r="E169" s="4"/>
      <c r="F169" s="46"/>
      <c r="G169" s="64"/>
      <c r="H169" s="64"/>
      <c r="I169" s="64"/>
      <c r="J169" s="64"/>
      <c r="K169" s="64"/>
      <c r="L169" s="64"/>
      <c r="M169" s="64"/>
      <c r="N169" s="64"/>
      <c r="O169" s="64"/>
      <c r="Q169" s="64"/>
      <c r="R169" s="64"/>
      <c r="S169" s="64"/>
      <c r="T169" s="64"/>
      <c r="U169" s="87"/>
      <c r="V169" s="4"/>
      <c r="W169" s="4"/>
      <c r="X169" s="4"/>
      <c r="Y169" s="4" t="s">
        <v>3633</v>
      </c>
      <c r="AA169" s="4"/>
      <c r="AB169" s="4"/>
      <c r="AC169" s="4"/>
      <c r="AD169" s="91"/>
      <c r="AE169" s="4"/>
      <c r="AF169" s="4" t="s">
        <v>3644</v>
      </c>
      <c r="AG169" s="5" t="s">
        <v>3609</v>
      </c>
      <c r="AH169" s="5" t="s">
        <v>3645</v>
      </c>
      <c r="AI169" s="4"/>
      <c r="AJ169" s="4" t="s">
        <v>3610</v>
      </c>
      <c r="AK169" s="4"/>
      <c r="AL169" s="4" t="s">
        <v>3053</v>
      </c>
      <c r="AM169" s="69"/>
      <c r="AN169" s="91"/>
      <c r="AO169" s="4"/>
      <c r="AP169" s="217"/>
      <c r="AQ169" s="4"/>
      <c r="AR169" s="4"/>
      <c r="AS169" s="4"/>
      <c r="AT169" s="4"/>
      <c r="AU169" s="91"/>
      <c r="AV169" s="4"/>
      <c r="AW169" s="4"/>
      <c r="AY169" s="4"/>
      <c r="AZ169" s="4"/>
      <c r="BA169" s="4"/>
      <c r="BB169" s="4"/>
      <c r="BC169" s="4" t="s">
        <v>135</v>
      </c>
      <c r="BD169" s="4"/>
      <c r="BE169" s="4"/>
      <c r="BF169" s="4"/>
      <c r="BG169" s="4"/>
      <c r="BH169" s="4"/>
      <c r="BI169" s="69">
        <v>45481</v>
      </c>
      <c r="BJ169" s="69"/>
      <c r="BK169" s="69">
        <v>45679</v>
      </c>
      <c r="BL169" s="97"/>
      <c r="BM169" s="4"/>
      <c r="BN169" s="4"/>
      <c r="BO169" s="91"/>
      <c r="BP169" s="4"/>
      <c r="CF169" s="4"/>
      <c r="CS169" s="147"/>
      <c r="CU169" s="216" t="s">
        <v>3028</v>
      </c>
      <c r="CW169" s="4" t="s">
        <v>3646</v>
      </c>
      <c r="CX169" s="39"/>
    </row>
    <row r="170" spans="1:102" x14ac:dyDescent="0.3">
      <c r="A170" s="2">
        <v>190</v>
      </c>
      <c r="B170" s="109" t="s">
        <v>3647</v>
      </c>
      <c r="C170" s="55"/>
      <c r="D170" s="2"/>
      <c r="E170" s="2"/>
      <c r="F170" s="47"/>
      <c r="G170" s="67"/>
      <c r="H170" s="67"/>
      <c r="I170" s="67"/>
      <c r="J170" s="67"/>
      <c r="K170" s="67"/>
      <c r="L170" s="67"/>
      <c r="M170" s="67"/>
      <c r="N170" s="67"/>
      <c r="O170" s="67"/>
      <c r="Q170" s="67"/>
      <c r="R170" s="67"/>
      <c r="S170" s="67"/>
      <c r="T170" s="67"/>
      <c r="U170" s="86"/>
      <c r="V170" s="2"/>
      <c r="W170" s="2"/>
      <c r="X170" s="2"/>
      <c r="Y170" s="2" t="s">
        <v>3633</v>
      </c>
      <c r="AA170" s="2"/>
      <c r="AB170" s="2"/>
      <c r="AC170" s="2"/>
      <c r="AD170" s="90"/>
      <c r="AE170" s="2"/>
      <c r="AF170" s="2" t="s">
        <v>3648</v>
      </c>
      <c r="AG170" s="3" t="s">
        <v>3609</v>
      </c>
      <c r="AH170" s="3" t="s">
        <v>3649</v>
      </c>
      <c r="AI170" s="2"/>
      <c r="AJ170" s="2" t="s">
        <v>3610</v>
      </c>
      <c r="AK170" s="2"/>
      <c r="AL170" s="2" t="s">
        <v>3053</v>
      </c>
      <c r="AM170" s="68"/>
      <c r="AN170" s="90"/>
      <c r="AO170" s="2"/>
      <c r="AP170" s="109"/>
      <c r="AQ170" s="2"/>
      <c r="AR170" s="2"/>
      <c r="AS170" s="2"/>
      <c r="AT170" s="2"/>
      <c r="AU170" s="90"/>
      <c r="AV170" s="2"/>
      <c r="AW170" s="2"/>
      <c r="AY170" s="2"/>
      <c r="AZ170" s="2"/>
      <c r="BA170" s="2"/>
      <c r="BB170" s="2"/>
      <c r="BC170" s="2" t="s">
        <v>135</v>
      </c>
      <c r="BD170" s="2"/>
      <c r="BE170" s="2"/>
      <c r="BF170" s="2"/>
      <c r="BG170" s="2"/>
      <c r="BH170" s="2"/>
      <c r="BI170" s="68">
        <v>44522</v>
      </c>
      <c r="BJ170" s="68"/>
      <c r="BK170" s="68">
        <v>46105</v>
      </c>
      <c r="BL170" s="98"/>
      <c r="BM170" s="2"/>
      <c r="BN170" s="2"/>
      <c r="BO170" s="90"/>
      <c r="BP170" s="2"/>
      <c r="CF170" s="2"/>
      <c r="CS170" s="146"/>
      <c r="CU170" s="132" t="s">
        <v>3028</v>
      </c>
      <c r="CW170" s="2" t="s">
        <v>3161</v>
      </c>
      <c r="CX170" s="38"/>
    </row>
    <row r="171" spans="1:102" x14ac:dyDescent="0.3">
      <c r="A171" s="4">
        <v>191</v>
      </c>
      <c r="B171" s="217" t="s">
        <v>3650</v>
      </c>
      <c r="C171" s="56"/>
      <c r="D171" s="4"/>
      <c r="E171" s="4"/>
      <c r="F171" s="46"/>
      <c r="G171" s="64"/>
      <c r="H171" s="64"/>
      <c r="I171" s="64"/>
      <c r="J171" s="64"/>
      <c r="K171" s="64"/>
      <c r="L171" s="64"/>
      <c r="M171" s="64"/>
      <c r="N171" s="64"/>
      <c r="O171" s="64"/>
      <c r="Q171" s="64"/>
      <c r="R171" s="64"/>
      <c r="S171" s="64"/>
      <c r="T171" s="64"/>
      <c r="U171" s="87"/>
      <c r="V171" s="4"/>
      <c r="W171" s="4"/>
      <c r="X171" s="4"/>
      <c r="Y171" s="4" t="s">
        <v>3633</v>
      </c>
      <c r="AA171" s="4"/>
      <c r="AB171" s="4"/>
      <c r="AC171" s="4"/>
      <c r="AD171" s="91"/>
      <c r="AE171" s="4"/>
      <c r="AF171" s="4" t="s">
        <v>3651</v>
      </c>
      <c r="AG171" s="5" t="s">
        <v>3609</v>
      </c>
      <c r="AH171" s="5" t="s">
        <v>3652</v>
      </c>
      <c r="AI171" s="4"/>
      <c r="AJ171" s="4" t="s">
        <v>3610</v>
      </c>
      <c r="AK171" s="4"/>
      <c r="AL171" s="4" t="s">
        <v>3053</v>
      </c>
      <c r="AM171" s="69"/>
      <c r="AN171" s="91"/>
      <c r="AO171" s="4"/>
      <c r="AP171" s="217"/>
      <c r="AQ171" s="4"/>
      <c r="AR171" s="4"/>
      <c r="AS171" s="4"/>
      <c r="AT171" s="4"/>
      <c r="AU171" s="91"/>
      <c r="AV171" s="4"/>
      <c r="AW171" s="4"/>
      <c r="AY171" s="4"/>
      <c r="AZ171" s="4"/>
      <c r="BA171" s="4"/>
      <c r="BB171" s="4"/>
      <c r="BC171" s="4" t="s">
        <v>135</v>
      </c>
      <c r="BD171" s="4"/>
      <c r="BE171" s="4"/>
      <c r="BF171" s="4"/>
      <c r="BG171" s="4"/>
      <c r="BH171" s="4"/>
      <c r="BI171" s="69">
        <v>45516</v>
      </c>
      <c r="BJ171" s="69"/>
      <c r="BK171" s="69">
        <v>45861</v>
      </c>
      <c r="BL171" s="97"/>
      <c r="BM171" s="4"/>
      <c r="BN171" s="4"/>
      <c r="BO171" s="91"/>
      <c r="BP171" s="4"/>
      <c r="CF171" s="4"/>
      <c r="CS171" s="147"/>
      <c r="CU171" s="216" t="s">
        <v>3028</v>
      </c>
      <c r="CW171" s="4" t="s">
        <v>3653</v>
      </c>
      <c r="CX171" s="39"/>
    </row>
    <row r="172" spans="1:102" x14ac:dyDescent="0.3">
      <c r="A172" s="2">
        <v>192</v>
      </c>
      <c r="B172" s="43" t="s">
        <v>1309</v>
      </c>
      <c r="C172" s="2" t="s">
        <v>109</v>
      </c>
      <c r="D172" s="7" t="s">
        <v>109</v>
      </c>
      <c r="E172" s="7" t="s">
        <v>109</v>
      </c>
      <c r="F172" s="47" t="s">
        <v>1310</v>
      </c>
      <c r="G172" s="2" t="s">
        <v>111</v>
      </c>
      <c r="H172" s="2" t="s">
        <v>112</v>
      </c>
      <c r="I172" s="2" t="s">
        <v>109</v>
      </c>
      <c r="J172" s="2" t="s">
        <v>109</v>
      </c>
      <c r="K172" s="2" t="s">
        <v>114</v>
      </c>
      <c r="L172" s="2" t="s">
        <v>1311</v>
      </c>
      <c r="M172" s="2" t="s">
        <v>109</v>
      </c>
      <c r="N172" s="2" t="s">
        <v>109</v>
      </c>
      <c r="O172" s="68" t="s">
        <v>109</v>
      </c>
      <c r="Q172" s="2" t="s">
        <v>109</v>
      </c>
      <c r="R172" s="2" t="s">
        <v>109</v>
      </c>
      <c r="S172" s="2" t="s">
        <v>109</v>
      </c>
      <c r="T172" s="2" t="s">
        <v>109</v>
      </c>
      <c r="U172" s="2" t="s">
        <v>116</v>
      </c>
      <c r="V172" s="2" t="s">
        <v>3275</v>
      </c>
      <c r="W172" s="2" t="b">
        <v>0</v>
      </c>
      <c r="X172" s="2" t="s">
        <v>109</v>
      </c>
      <c r="Y172" s="2" t="s">
        <v>3510</v>
      </c>
      <c r="AA172" s="2" t="s">
        <v>118</v>
      </c>
      <c r="AB172" s="2" t="s">
        <v>118</v>
      </c>
      <c r="AC172" s="2">
        <v>138</v>
      </c>
      <c r="AD172" s="2" t="s">
        <v>1313</v>
      </c>
      <c r="AE172" s="2">
        <v>4.3</v>
      </c>
      <c r="AF172" s="2" t="s">
        <v>3654</v>
      </c>
      <c r="AG172" s="3" t="s">
        <v>3655</v>
      </c>
      <c r="AH172" s="3" t="s">
        <v>3656</v>
      </c>
      <c r="AI172" s="2">
        <v>1</v>
      </c>
      <c r="AJ172" s="2" t="s">
        <v>3657</v>
      </c>
      <c r="AK172" s="2" t="s">
        <v>121</v>
      </c>
      <c r="AL172" s="2" t="s">
        <v>3027</v>
      </c>
      <c r="AM172" s="68">
        <v>42479</v>
      </c>
      <c r="AN172" s="2" t="s">
        <v>122</v>
      </c>
      <c r="AO172" s="2" t="s">
        <v>109</v>
      </c>
      <c r="AP172" s="109" t="s">
        <v>109</v>
      </c>
      <c r="AQ172" s="2" t="b">
        <v>0</v>
      </c>
      <c r="AR172" s="2" t="s">
        <v>109</v>
      </c>
      <c r="AS172" s="2" t="s">
        <v>109</v>
      </c>
      <c r="AT172" s="2" t="s">
        <v>118</v>
      </c>
      <c r="AU172" s="2" t="b">
        <v>0</v>
      </c>
      <c r="AV172" s="2" t="s">
        <v>109</v>
      </c>
      <c r="AW172" s="2" t="s">
        <v>118</v>
      </c>
      <c r="AY172" s="2" t="s">
        <v>109</v>
      </c>
      <c r="AZ172" s="2" t="s">
        <v>109</v>
      </c>
      <c r="BA172" s="2" t="s">
        <v>118</v>
      </c>
      <c r="BB172" s="2" t="s">
        <v>118</v>
      </c>
      <c r="BC172" s="2" t="s">
        <v>109</v>
      </c>
      <c r="BD172" s="68" t="s">
        <v>109</v>
      </c>
      <c r="BE172" s="7" t="s">
        <v>109</v>
      </c>
      <c r="BF172" s="2" t="s">
        <v>109</v>
      </c>
      <c r="BG172" s="2" t="s">
        <v>126</v>
      </c>
      <c r="BH172" s="2" t="s">
        <v>109</v>
      </c>
      <c r="BI172" s="68" t="s">
        <v>109</v>
      </c>
      <c r="BJ172" s="68">
        <v>43636</v>
      </c>
      <c r="BK172" s="68" t="s">
        <v>109</v>
      </c>
      <c r="BL172" s="98" t="s">
        <v>109</v>
      </c>
      <c r="BM172" s="2" t="s">
        <v>109</v>
      </c>
      <c r="BN172" s="98" t="b">
        <v>0</v>
      </c>
      <c r="BO172" s="85" t="s">
        <v>118</v>
      </c>
      <c r="BP172" s="2" t="s">
        <v>128</v>
      </c>
      <c r="CF172" s="2" t="s">
        <v>189</v>
      </c>
      <c r="CS172" s="145"/>
      <c r="CU172" s="132" t="s">
        <v>3028</v>
      </c>
      <c r="CW172" s="2" t="s">
        <v>3658</v>
      </c>
      <c r="CX172" s="38"/>
    </row>
    <row r="173" spans="1:102" x14ac:dyDescent="0.3">
      <c r="A173" s="4">
        <v>193</v>
      </c>
      <c r="B173" s="44" t="s">
        <v>1317</v>
      </c>
      <c r="C173" s="57" t="s">
        <v>109</v>
      </c>
      <c r="D173" s="57" t="s">
        <v>109</v>
      </c>
      <c r="E173" s="6" t="s">
        <v>109</v>
      </c>
      <c r="F173" s="46" t="s">
        <v>1318</v>
      </c>
      <c r="G173" s="4" t="s">
        <v>111</v>
      </c>
      <c r="H173" s="4" t="s">
        <v>113</v>
      </c>
      <c r="I173" s="4" t="s">
        <v>109</v>
      </c>
      <c r="J173" s="4" t="s">
        <v>109</v>
      </c>
      <c r="K173" s="4" t="s">
        <v>114</v>
      </c>
      <c r="L173" s="4" t="s">
        <v>159</v>
      </c>
      <c r="M173" s="4" t="s">
        <v>109</v>
      </c>
      <c r="N173" s="4" t="s">
        <v>109</v>
      </c>
      <c r="O173" s="4" t="s">
        <v>109</v>
      </c>
      <c r="Q173" s="4" t="s">
        <v>109</v>
      </c>
      <c r="R173" s="4" t="s">
        <v>109</v>
      </c>
      <c r="S173" s="4" t="s">
        <v>109</v>
      </c>
      <c r="T173" s="4" t="s">
        <v>109</v>
      </c>
      <c r="U173" s="4" t="s">
        <v>116</v>
      </c>
      <c r="V173" s="4" t="s">
        <v>3022</v>
      </c>
      <c r="W173" s="4" t="b">
        <v>0</v>
      </c>
      <c r="X173" s="4" t="s">
        <v>109</v>
      </c>
      <c r="Y173" s="4" t="s">
        <v>429</v>
      </c>
      <c r="AA173" s="4" t="s">
        <v>118</v>
      </c>
      <c r="AB173" s="4" t="s">
        <v>118</v>
      </c>
      <c r="AC173" s="4" t="s">
        <v>109</v>
      </c>
      <c r="AD173" s="4" t="s">
        <v>434</v>
      </c>
      <c r="AE173" s="4">
        <v>4.3</v>
      </c>
      <c r="AF173" s="4" t="s">
        <v>3023</v>
      </c>
      <c r="AG173" s="5" t="s">
        <v>3659</v>
      </c>
      <c r="AH173" s="5" t="s">
        <v>3025</v>
      </c>
      <c r="AI173" s="4">
        <v>162</v>
      </c>
      <c r="AJ173" s="4" t="s">
        <v>3660</v>
      </c>
      <c r="AK173" s="4" t="s">
        <v>121</v>
      </c>
      <c r="AL173" s="4" t="s">
        <v>3027</v>
      </c>
      <c r="AM173" s="69">
        <v>45509</v>
      </c>
      <c r="AN173" s="4" t="s">
        <v>122</v>
      </c>
      <c r="AO173" s="4" t="s">
        <v>109</v>
      </c>
      <c r="AP173" s="217" t="s">
        <v>109</v>
      </c>
      <c r="AQ173" s="4" t="b">
        <v>0</v>
      </c>
      <c r="AR173" s="4" t="s">
        <v>109</v>
      </c>
      <c r="AS173" s="4" t="s">
        <v>109</v>
      </c>
      <c r="AT173" s="4" t="s">
        <v>118</v>
      </c>
      <c r="AU173" s="4" t="b">
        <v>0</v>
      </c>
      <c r="AV173" s="4" t="s">
        <v>109</v>
      </c>
      <c r="AW173" s="4" t="s">
        <v>118</v>
      </c>
      <c r="AY173" s="4" t="s">
        <v>109</v>
      </c>
      <c r="AZ173" s="4" t="s">
        <v>109</v>
      </c>
      <c r="BA173" s="4" t="s">
        <v>118</v>
      </c>
      <c r="BB173" s="4" t="s">
        <v>118</v>
      </c>
      <c r="BC173" s="4" t="s">
        <v>135</v>
      </c>
      <c r="BD173" s="69" t="s">
        <v>109</v>
      </c>
      <c r="BE173" s="6" t="s">
        <v>109</v>
      </c>
      <c r="BF173" s="4" t="s">
        <v>109</v>
      </c>
      <c r="BG173" s="4" t="s">
        <v>126</v>
      </c>
      <c r="BH173" s="4" t="s">
        <v>109</v>
      </c>
      <c r="BI173" s="69" t="s">
        <v>109</v>
      </c>
      <c r="BJ173" s="69">
        <v>45657</v>
      </c>
      <c r="BK173" s="69" t="s">
        <v>109</v>
      </c>
      <c r="BL173" s="97" t="s">
        <v>109</v>
      </c>
      <c r="BM173" s="4" t="s">
        <v>109</v>
      </c>
      <c r="BN173" s="4" t="b">
        <v>1</v>
      </c>
      <c r="BO173" s="130" t="s">
        <v>118</v>
      </c>
      <c r="BP173" s="4" t="s">
        <v>128</v>
      </c>
      <c r="CF173" s="4" t="s">
        <v>129</v>
      </c>
      <c r="CS173" s="144"/>
      <c r="CU173" s="216" t="s">
        <v>3060</v>
      </c>
      <c r="CW173" s="4" t="s">
        <v>3029</v>
      </c>
      <c r="CX173" s="39"/>
    </row>
    <row r="174" spans="1:102" ht="52.8" x14ac:dyDescent="0.3">
      <c r="A174" s="2">
        <v>194</v>
      </c>
      <c r="B174" s="43" t="s">
        <v>1320</v>
      </c>
      <c r="C174" s="52" t="s">
        <v>109</v>
      </c>
      <c r="D174" s="52" t="s">
        <v>109</v>
      </c>
      <c r="E174" s="2" t="s">
        <v>191</v>
      </c>
      <c r="F174" s="47" t="s">
        <v>1321</v>
      </c>
      <c r="G174" s="67" t="s">
        <v>133</v>
      </c>
      <c r="H174" s="2" t="s">
        <v>113</v>
      </c>
      <c r="I174" s="2" t="s">
        <v>109</v>
      </c>
      <c r="J174" s="2" t="s">
        <v>109</v>
      </c>
      <c r="K174" s="2" t="s">
        <v>114</v>
      </c>
      <c r="L174" s="2" t="s">
        <v>159</v>
      </c>
      <c r="M174" s="2" t="s">
        <v>109</v>
      </c>
      <c r="N174" s="2" t="s">
        <v>109</v>
      </c>
      <c r="O174" s="2" t="s">
        <v>109</v>
      </c>
      <c r="Q174" s="2" t="s">
        <v>109</v>
      </c>
      <c r="R174" s="2" t="s">
        <v>109</v>
      </c>
      <c r="S174" s="2" t="s">
        <v>109</v>
      </c>
      <c r="T174" s="2" t="s">
        <v>109</v>
      </c>
      <c r="U174" s="2" t="s">
        <v>116</v>
      </c>
      <c r="V174" s="2" t="s">
        <v>3022</v>
      </c>
      <c r="W174" s="2" t="b">
        <v>0</v>
      </c>
      <c r="X174" s="2" t="s">
        <v>109</v>
      </c>
      <c r="Y174" s="2" t="s">
        <v>429</v>
      </c>
      <c r="AA174" s="2" t="s">
        <v>109</v>
      </c>
      <c r="AB174" s="2" t="s">
        <v>109</v>
      </c>
      <c r="AC174" s="2" t="s">
        <v>109</v>
      </c>
      <c r="AD174" s="2" t="s">
        <v>109</v>
      </c>
      <c r="AE174" s="2">
        <v>4.3</v>
      </c>
      <c r="AF174" s="2" t="s">
        <v>3023</v>
      </c>
      <c r="AG174" s="3" t="s">
        <v>3659</v>
      </c>
      <c r="AH174" s="3" t="s">
        <v>3661</v>
      </c>
      <c r="AI174" s="2">
        <v>12</v>
      </c>
      <c r="AJ174" s="2" t="s">
        <v>3660</v>
      </c>
      <c r="AK174" s="2" t="s">
        <v>121</v>
      </c>
      <c r="AL174" s="2" t="s">
        <v>3027</v>
      </c>
      <c r="AM174" s="68">
        <v>44531</v>
      </c>
      <c r="AN174" s="2" t="s">
        <v>122</v>
      </c>
      <c r="AO174" s="2" t="s">
        <v>109</v>
      </c>
      <c r="AP174" s="109" t="s">
        <v>109</v>
      </c>
      <c r="AQ174" s="2" t="b">
        <v>0</v>
      </c>
      <c r="AR174" s="2" t="s">
        <v>109</v>
      </c>
      <c r="AS174" s="2" t="s">
        <v>109</v>
      </c>
      <c r="AT174" s="2" t="s">
        <v>109</v>
      </c>
      <c r="AU174" s="2" t="b">
        <v>0</v>
      </c>
      <c r="AV174" s="2" t="s">
        <v>109</v>
      </c>
      <c r="AW174" s="2" t="s">
        <v>118</v>
      </c>
      <c r="AY174" s="2" t="s">
        <v>109</v>
      </c>
      <c r="AZ174" s="2" t="s">
        <v>109</v>
      </c>
      <c r="BA174" s="2" t="s">
        <v>118</v>
      </c>
      <c r="BB174" s="2" t="s">
        <v>118</v>
      </c>
      <c r="BC174" s="2" t="s">
        <v>135</v>
      </c>
      <c r="BD174" s="68" t="s">
        <v>109</v>
      </c>
      <c r="BE174" s="7" t="s">
        <v>109</v>
      </c>
      <c r="BF174" s="2" t="s">
        <v>109</v>
      </c>
      <c r="BG174" s="2" t="s">
        <v>126</v>
      </c>
      <c r="BH174" s="2" t="s">
        <v>109</v>
      </c>
      <c r="BI174" s="76" t="s">
        <v>109</v>
      </c>
      <c r="BJ174" s="68">
        <v>44926</v>
      </c>
      <c r="BK174" s="76" t="s">
        <v>109</v>
      </c>
      <c r="BL174" s="98" t="s">
        <v>109</v>
      </c>
      <c r="BM174" s="2" t="s">
        <v>109</v>
      </c>
      <c r="BN174" s="2" t="b">
        <v>1</v>
      </c>
      <c r="BO174" s="85" t="s">
        <v>118</v>
      </c>
      <c r="BP174" s="2" t="s">
        <v>128</v>
      </c>
      <c r="CF174" s="2" t="s">
        <v>174</v>
      </c>
      <c r="CS174" s="142" t="s">
        <v>3662</v>
      </c>
      <c r="CU174" s="132" t="s">
        <v>3060</v>
      </c>
      <c r="CW174" s="2" t="s">
        <v>3029</v>
      </c>
      <c r="CX174" s="38"/>
    </row>
    <row r="175" spans="1:102" x14ac:dyDescent="0.3">
      <c r="A175" s="4">
        <v>195</v>
      </c>
      <c r="B175" s="44" t="s">
        <v>1323</v>
      </c>
      <c r="C175" s="57" t="s">
        <v>109</v>
      </c>
      <c r="D175" s="57" t="s">
        <v>109</v>
      </c>
      <c r="E175" s="4" t="s">
        <v>191</v>
      </c>
      <c r="F175" s="46" t="s">
        <v>1321</v>
      </c>
      <c r="G175" s="64" t="s">
        <v>133</v>
      </c>
      <c r="H175" s="4" t="s">
        <v>113</v>
      </c>
      <c r="I175" s="4" t="s">
        <v>109</v>
      </c>
      <c r="J175" s="4" t="s">
        <v>109</v>
      </c>
      <c r="K175" s="4" t="s">
        <v>114</v>
      </c>
      <c r="L175" s="4" t="s">
        <v>159</v>
      </c>
      <c r="M175" s="4" t="s">
        <v>109</v>
      </c>
      <c r="N175" s="4" t="s">
        <v>109</v>
      </c>
      <c r="O175" s="4" t="s">
        <v>109</v>
      </c>
      <c r="Q175" s="4" t="s">
        <v>109</v>
      </c>
      <c r="R175" s="4" t="s">
        <v>109</v>
      </c>
      <c r="S175" s="4" t="s">
        <v>109</v>
      </c>
      <c r="T175" s="4" t="s">
        <v>109</v>
      </c>
      <c r="U175" s="4" t="s">
        <v>116</v>
      </c>
      <c r="V175" s="4" t="s">
        <v>3022</v>
      </c>
      <c r="W175" s="4" t="b">
        <v>0</v>
      </c>
      <c r="X175" s="4" t="s">
        <v>109</v>
      </c>
      <c r="Y175" s="4" t="s">
        <v>429</v>
      </c>
      <c r="AA175" s="4" t="s">
        <v>109</v>
      </c>
      <c r="AB175" s="4" t="s">
        <v>109</v>
      </c>
      <c r="AC175" s="4" t="s">
        <v>109</v>
      </c>
      <c r="AD175" s="4" t="s">
        <v>109</v>
      </c>
      <c r="AE175" s="4">
        <v>4.3</v>
      </c>
      <c r="AF175" s="4" t="s">
        <v>3030</v>
      </c>
      <c r="AG175" s="5" t="s">
        <v>3659</v>
      </c>
      <c r="AH175" s="5" t="s">
        <v>3663</v>
      </c>
      <c r="AI175" s="4">
        <v>1</v>
      </c>
      <c r="AJ175" s="4" t="s">
        <v>3660</v>
      </c>
      <c r="AK175" s="4" t="s">
        <v>121</v>
      </c>
      <c r="AL175" s="4" t="s">
        <v>3027</v>
      </c>
      <c r="AM175" s="69">
        <v>43112</v>
      </c>
      <c r="AN175" s="4" t="s">
        <v>122</v>
      </c>
      <c r="AO175" s="4" t="s">
        <v>109</v>
      </c>
      <c r="AP175" s="217" t="s">
        <v>109</v>
      </c>
      <c r="AQ175" s="4" t="b">
        <v>0</v>
      </c>
      <c r="AR175" s="4" t="s">
        <v>109</v>
      </c>
      <c r="AS175" s="4" t="s">
        <v>109</v>
      </c>
      <c r="AT175" s="4" t="s">
        <v>109</v>
      </c>
      <c r="AU175" s="4" t="b">
        <v>0</v>
      </c>
      <c r="AV175" s="4" t="s">
        <v>109</v>
      </c>
      <c r="AW175" s="4" t="s">
        <v>118</v>
      </c>
      <c r="AY175" s="4" t="s">
        <v>109</v>
      </c>
      <c r="AZ175" s="4" t="s">
        <v>109</v>
      </c>
      <c r="BA175" s="4" t="s">
        <v>118</v>
      </c>
      <c r="BB175" s="4" t="s">
        <v>118</v>
      </c>
      <c r="BC175" s="4" t="s">
        <v>135</v>
      </c>
      <c r="BD175" s="69" t="s">
        <v>109</v>
      </c>
      <c r="BE175" s="6" t="s">
        <v>109</v>
      </c>
      <c r="BF175" s="4" t="s">
        <v>109</v>
      </c>
      <c r="BG175" s="4" t="s">
        <v>126</v>
      </c>
      <c r="BH175" s="4" t="s">
        <v>109</v>
      </c>
      <c r="BI175" s="75" t="s">
        <v>109</v>
      </c>
      <c r="BJ175" s="69">
        <v>43465</v>
      </c>
      <c r="BK175" s="75" t="s">
        <v>109</v>
      </c>
      <c r="BL175" s="97" t="s">
        <v>109</v>
      </c>
      <c r="BM175" s="4" t="s">
        <v>109</v>
      </c>
      <c r="BN175" s="97" t="b">
        <v>0</v>
      </c>
      <c r="BO175" s="130" t="s">
        <v>118</v>
      </c>
      <c r="BP175" s="4" t="s">
        <v>128</v>
      </c>
      <c r="CF175" s="4" t="s">
        <v>189</v>
      </c>
      <c r="CS175" s="143"/>
      <c r="CU175" s="216" t="s">
        <v>3060</v>
      </c>
      <c r="CW175" s="4" t="s">
        <v>3029</v>
      </c>
      <c r="CX175" s="39"/>
    </row>
    <row r="176" spans="1:102" x14ac:dyDescent="0.3">
      <c r="A176" s="2">
        <v>196</v>
      </c>
      <c r="B176" s="43" t="s">
        <v>1325</v>
      </c>
      <c r="C176" s="52" t="s">
        <v>109</v>
      </c>
      <c r="D176" s="52" t="s">
        <v>109</v>
      </c>
      <c r="E176" s="2" t="s">
        <v>191</v>
      </c>
      <c r="F176" s="47" t="s">
        <v>1321</v>
      </c>
      <c r="G176" s="67" t="s">
        <v>133</v>
      </c>
      <c r="H176" s="2" t="s">
        <v>113</v>
      </c>
      <c r="I176" s="2" t="s">
        <v>109</v>
      </c>
      <c r="J176" s="2" t="s">
        <v>109</v>
      </c>
      <c r="K176" s="2" t="s">
        <v>114</v>
      </c>
      <c r="L176" s="2" t="s">
        <v>159</v>
      </c>
      <c r="M176" s="2" t="s">
        <v>109</v>
      </c>
      <c r="N176" s="2" t="s">
        <v>109</v>
      </c>
      <c r="O176" s="2" t="s">
        <v>109</v>
      </c>
      <c r="Q176" s="2" t="s">
        <v>109</v>
      </c>
      <c r="R176" s="2" t="s">
        <v>109</v>
      </c>
      <c r="S176" s="2" t="s">
        <v>109</v>
      </c>
      <c r="T176" s="2" t="s">
        <v>109</v>
      </c>
      <c r="U176" s="2" t="s">
        <v>116</v>
      </c>
      <c r="V176" s="2" t="s">
        <v>3022</v>
      </c>
      <c r="W176" s="2" t="b">
        <v>0</v>
      </c>
      <c r="X176" s="2" t="s">
        <v>109</v>
      </c>
      <c r="Y176" s="2" t="s">
        <v>429</v>
      </c>
      <c r="AA176" s="2" t="s">
        <v>109</v>
      </c>
      <c r="AB176" s="2" t="s">
        <v>109</v>
      </c>
      <c r="AC176" s="2" t="s">
        <v>109</v>
      </c>
      <c r="AD176" s="2" t="s">
        <v>109</v>
      </c>
      <c r="AE176" s="2">
        <v>4.3</v>
      </c>
      <c r="AF176" s="2" t="s">
        <v>3664</v>
      </c>
      <c r="AG176" s="3" t="s">
        <v>3659</v>
      </c>
      <c r="AH176" s="3" t="s">
        <v>3665</v>
      </c>
      <c r="AI176" s="2">
        <v>1</v>
      </c>
      <c r="AJ176" s="2" t="s">
        <v>3660</v>
      </c>
      <c r="AK176" s="2" t="s">
        <v>121</v>
      </c>
      <c r="AL176" s="2" t="s">
        <v>3027</v>
      </c>
      <c r="AM176" s="68">
        <v>43928</v>
      </c>
      <c r="AN176" s="2" t="s">
        <v>122</v>
      </c>
      <c r="AO176" s="2" t="s">
        <v>109</v>
      </c>
      <c r="AP176" s="109" t="s">
        <v>109</v>
      </c>
      <c r="AQ176" s="2" t="b">
        <v>0</v>
      </c>
      <c r="AR176" s="2" t="s">
        <v>109</v>
      </c>
      <c r="AS176" s="2" t="s">
        <v>109</v>
      </c>
      <c r="AT176" s="2" t="s">
        <v>109</v>
      </c>
      <c r="AU176" s="2" t="b">
        <v>0</v>
      </c>
      <c r="AV176" s="2" t="s">
        <v>109</v>
      </c>
      <c r="AW176" s="2" t="s">
        <v>118</v>
      </c>
      <c r="AY176" s="2" t="s">
        <v>109</v>
      </c>
      <c r="AZ176" s="2" t="s">
        <v>109</v>
      </c>
      <c r="BA176" s="2" t="s">
        <v>118</v>
      </c>
      <c r="BB176" s="2" t="s">
        <v>118</v>
      </c>
      <c r="BC176" s="2" t="s">
        <v>135</v>
      </c>
      <c r="BD176" s="68" t="s">
        <v>109</v>
      </c>
      <c r="BE176" s="7" t="s">
        <v>109</v>
      </c>
      <c r="BF176" s="2" t="s">
        <v>109</v>
      </c>
      <c r="BG176" s="2" t="s">
        <v>126</v>
      </c>
      <c r="BH176" s="2" t="s">
        <v>109</v>
      </c>
      <c r="BI176" s="76">
        <v>44326</v>
      </c>
      <c r="BJ176" s="68">
        <v>44196</v>
      </c>
      <c r="BK176" s="76">
        <v>44509</v>
      </c>
      <c r="BL176" s="98" t="s">
        <v>109</v>
      </c>
      <c r="BM176" s="2" t="s">
        <v>109</v>
      </c>
      <c r="BN176" s="98" t="b">
        <v>0</v>
      </c>
      <c r="BO176" s="85" t="s">
        <v>118</v>
      </c>
      <c r="BP176" s="2" t="s">
        <v>128</v>
      </c>
      <c r="CF176" s="2" t="s">
        <v>3106</v>
      </c>
      <c r="CS176" s="142"/>
      <c r="CU176" s="132" t="s">
        <v>3060</v>
      </c>
      <c r="CW176" s="2" t="s">
        <v>3029</v>
      </c>
      <c r="CX176" s="38"/>
    </row>
    <row r="177" spans="1:102" x14ac:dyDescent="0.3">
      <c r="A177" s="4">
        <v>197</v>
      </c>
      <c r="B177" s="44" t="s">
        <v>1329</v>
      </c>
      <c r="C177" s="53">
        <v>33.137464000000001</v>
      </c>
      <c r="D177" s="53">
        <v>-117.336094</v>
      </c>
      <c r="E177" s="4" t="s">
        <v>1330</v>
      </c>
      <c r="F177" s="46" t="s">
        <v>1331</v>
      </c>
      <c r="G177" s="64" t="s">
        <v>133</v>
      </c>
      <c r="H177" s="4" t="s">
        <v>113</v>
      </c>
      <c r="I177" s="4" t="s">
        <v>109</v>
      </c>
      <c r="J177" s="4" t="s">
        <v>109</v>
      </c>
      <c r="K177" s="4" t="s">
        <v>114</v>
      </c>
      <c r="L177" s="4" t="s">
        <v>159</v>
      </c>
      <c r="M177" s="4" t="s">
        <v>109</v>
      </c>
      <c r="N177" s="4" t="s">
        <v>109</v>
      </c>
      <c r="O177" s="69">
        <v>45581</v>
      </c>
      <c r="Q177" s="4" t="s">
        <v>109</v>
      </c>
      <c r="R177" s="4" t="s">
        <v>109</v>
      </c>
      <c r="S177" s="4" t="s">
        <v>109</v>
      </c>
      <c r="T177" s="4" t="s">
        <v>109</v>
      </c>
      <c r="U177" s="4" t="s">
        <v>116</v>
      </c>
      <c r="V177" s="4" t="s">
        <v>3022</v>
      </c>
      <c r="W177" s="4" t="b">
        <v>0</v>
      </c>
      <c r="X177" s="4" t="s">
        <v>109</v>
      </c>
      <c r="Y177" s="4" t="s">
        <v>429</v>
      </c>
      <c r="AA177" s="4" t="s">
        <v>109</v>
      </c>
      <c r="AB177" s="4" t="s">
        <v>109</v>
      </c>
      <c r="AC177" s="4" t="s">
        <v>109</v>
      </c>
      <c r="AD177" s="4" t="s">
        <v>109</v>
      </c>
      <c r="AE177" s="4">
        <v>4.3</v>
      </c>
      <c r="AF177" s="4" t="s">
        <v>3666</v>
      </c>
      <c r="AG177" s="5" t="s">
        <v>3659</v>
      </c>
      <c r="AH177" s="5" t="s">
        <v>3667</v>
      </c>
      <c r="AI177" s="4">
        <v>1</v>
      </c>
      <c r="AJ177" s="4" t="s">
        <v>3660</v>
      </c>
      <c r="AK177" s="4" t="s">
        <v>121</v>
      </c>
      <c r="AL177" s="4" t="s">
        <v>3027</v>
      </c>
      <c r="AM177" s="69">
        <v>42789</v>
      </c>
      <c r="AN177" s="4" t="s">
        <v>122</v>
      </c>
      <c r="AO177" s="4" t="s">
        <v>109</v>
      </c>
      <c r="AP177" s="217" t="s">
        <v>109</v>
      </c>
      <c r="AQ177" s="4" t="b">
        <v>0</v>
      </c>
      <c r="AR177" s="4" t="s">
        <v>109</v>
      </c>
      <c r="AS177" s="4" t="s">
        <v>109</v>
      </c>
      <c r="AT177" s="4" t="s">
        <v>109</v>
      </c>
      <c r="AU177" s="4" t="b">
        <v>0</v>
      </c>
      <c r="AV177" s="4" t="s">
        <v>109</v>
      </c>
      <c r="AW177" s="4" t="s">
        <v>118</v>
      </c>
      <c r="AY177" s="4" t="s">
        <v>109</v>
      </c>
      <c r="AZ177" s="4" t="s">
        <v>109</v>
      </c>
      <c r="BA177" s="4" t="s">
        <v>118</v>
      </c>
      <c r="BB177" s="4" t="s">
        <v>118</v>
      </c>
      <c r="BC177" s="4" t="s">
        <v>135</v>
      </c>
      <c r="BD177" s="69" t="s">
        <v>109</v>
      </c>
      <c r="BE177" s="6" t="s">
        <v>109</v>
      </c>
      <c r="BF177" s="4" t="s">
        <v>109</v>
      </c>
      <c r="BG177" s="4" t="s">
        <v>126</v>
      </c>
      <c r="BH177" s="4" t="s">
        <v>109</v>
      </c>
      <c r="BI177" s="75">
        <v>43724</v>
      </c>
      <c r="BJ177" s="69">
        <v>43070</v>
      </c>
      <c r="BK177" s="75">
        <v>43831</v>
      </c>
      <c r="BL177" s="97" t="s">
        <v>109</v>
      </c>
      <c r="BM177" s="4" t="s">
        <v>109</v>
      </c>
      <c r="BN177" s="97" t="b">
        <v>0</v>
      </c>
      <c r="BO177" s="130" t="s">
        <v>118</v>
      </c>
      <c r="BP177" s="4" t="s">
        <v>128</v>
      </c>
      <c r="CF177" s="4" t="s">
        <v>3039</v>
      </c>
      <c r="CS177" s="143"/>
      <c r="CU177" s="216" t="s">
        <v>3060</v>
      </c>
      <c r="CW177" s="4" t="s">
        <v>3668</v>
      </c>
      <c r="CX177" s="39"/>
    </row>
    <row r="178" spans="1:102" x14ac:dyDescent="0.3">
      <c r="A178" s="2">
        <v>198</v>
      </c>
      <c r="B178" s="43" t="s">
        <v>1336</v>
      </c>
      <c r="C178" s="51">
        <v>32.583145999999999</v>
      </c>
      <c r="D178" s="51">
        <v>-117.097128</v>
      </c>
      <c r="E178" s="2" t="s">
        <v>329</v>
      </c>
      <c r="F178" s="47" t="s">
        <v>1337</v>
      </c>
      <c r="G178" s="67" t="s">
        <v>133</v>
      </c>
      <c r="H178" s="2" t="s">
        <v>113</v>
      </c>
      <c r="I178" s="2" t="s">
        <v>109</v>
      </c>
      <c r="J178" s="2" t="s">
        <v>109</v>
      </c>
      <c r="K178" s="2" t="s">
        <v>114</v>
      </c>
      <c r="L178" s="2" t="s">
        <v>159</v>
      </c>
      <c r="M178" s="2" t="s">
        <v>109</v>
      </c>
      <c r="N178" s="2" t="s">
        <v>109</v>
      </c>
      <c r="O178" s="68">
        <v>45583</v>
      </c>
      <c r="Q178" s="2" t="s">
        <v>109</v>
      </c>
      <c r="R178" s="2" t="s">
        <v>109</v>
      </c>
      <c r="S178" s="2" t="s">
        <v>109</v>
      </c>
      <c r="T178" s="2" t="s">
        <v>109</v>
      </c>
      <c r="U178" s="2" t="s">
        <v>116</v>
      </c>
      <c r="V178" s="2" t="s">
        <v>3022</v>
      </c>
      <c r="W178" s="2" t="b">
        <v>0</v>
      </c>
      <c r="X178" s="2" t="s">
        <v>109</v>
      </c>
      <c r="Y178" s="2" t="s">
        <v>429</v>
      </c>
      <c r="AA178" s="2" t="s">
        <v>109</v>
      </c>
      <c r="AB178" s="2" t="s">
        <v>109</v>
      </c>
      <c r="AC178" s="2" t="s">
        <v>109</v>
      </c>
      <c r="AD178" s="2" t="s">
        <v>109</v>
      </c>
      <c r="AE178" s="2">
        <v>4.3</v>
      </c>
      <c r="AF178" s="2" t="s">
        <v>3669</v>
      </c>
      <c r="AG178" s="3" t="s">
        <v>3659</v>
      </c>
      <c r="AH178" s="3" t="s">
        <v>3670</v>
      </c>
      <c r="AI178" s="2">
        <v>1</v>
      </c>
      <c r="AJ178" s="2" t="s">
        <v>3660</v>
      </c>
      <c r="AK178" s="2" t="s">
        <v>121</v>
      </c>
      <c r="AL178" s="2" t="s">
        <v>3027</v>
      </c>
      <c r="AM178" s="68">
        <v>44063</v>
      </c>
      <c r="AN178" s="2" t="s">
        <v>122</v>
      </c>
      <c r="AO178" s="2" t="s">
        <v>109</v>
      </c>
      <c r="AP178" s="109" t="s">
        <v>109</v>
      </c>
      <c r="AQ178" s="2" t="b">
        <v>0</v>
      </c>
      <c r="AR178" s="2" t="s">
        <v>109</v>
      </c>
      <c r="AS178" s="2" t="s">
        <v>109</v>
      </c>
      <c r="AT178" s="2" t="s">
        <v>109</v>
      </c>
      <c r="AU178" s="2" t="b">
        <v>0</v>
      </c>
      <c r="AV178" s="2" t="s">
        <v>109</v>
      </c>
      <c r="AW178" s="2" t="s">
        <v>118</v>
      </c>
      <c r="AY178" s="2" t="s">
        <v>109</v>
      </c>
      <c r="AZ178" s="2" t="s">
        <v>109</v>
      </c>
      <c r="BA178" s="2" t="s">
        <v>118</v>
      </c>
      <c r="BB178" s="2" t="s">
        <v>118</v>
      </c>
      <c r="BC178" s="2" t="s">
        <v>135</v>
      </c>
      <c r="BD178" s="68" t="s">
        <v>109</v>
      </c>
      <c r="BE178" s="7" t="s">
        <v>109</v>
      </c>
      <c r="BF178" s="2" t="s">
        <v>109</v>
      </c>
      <c r="BG178" s="2" t="s">
        <v>126</v>
      </c>
      <c r="BH178" s="2" t="s">
        <v>109</v>
      </c>
      <c r="BI178" s="76">
        <v>44502</v>
      </c>
      <c r="BJ178" s="68">
        <v>44561</v>
      </c>
      <c r="BK178" s="76">
        <v>44729</v>
      </c>
      <c r="BL178" s="98" t="s">
        <v>109</v>
      </c>
      <c r="BM178" s="2" t="s">
        <v>109</v>
      </c>
      <c r="BN178" s="2" t="b">
        <v>1</v>
      </c>
      <c r="BO178" s="85" t="s">
        <v>118</v>
      </c>
      <c r="BP178" s="2" t="s">
        <v>128</v>
      </c>
      <c r="CF178" s="2" t="s">
        <v>460</v>
      </c>
      <c r="CS178" s="142"/>
      <c r="CU178" s="132" t="s">
        <v>3060</v>
      </c>
      <c r="CW178" s="2" t="s">
        <v>3671</v>
      </c>
      <c r="CX178" s="38"/>
    </row>
    <row r="179" spans="1:102" x14ac:dyDescent="0.3">
      <c r="A179" s="4">
        <v>199</v>
      </c>
      <c r="B179" s="44" t="s">
        <v>1341</v>
      </c>
      <c r="C179" s="53">
        <v>32.893999999999998</v>
      </c>
      <c r="D179" s="53">
        <v>-117.136</v>
      </c>
      <c r="E179" s="4" t="s">
        <v>329</v>
      </c>
      <c r="F179" s="46" t="s">
        <v>1342</v>
      </c>
      <c r="G179" s="64" t="s">
        <v>439</v>
      </c>
      <c r="H179" s="4" t="s">
        <v>113</v>
      </c>
      <c r="I179" s="4" t="s">
        <v>109</v>
      </c>
      <c r="J179" s="4" t="s">
        <v>109</v>
      </c>
      <c r="K179" s="4" t="s">
        <v>114</v>
      </c>
      <c r="L179" s="4" t="s">
        <v>159</v>
      </c>
      <c r="M179" s="4" t="s">
        <v>109</v>
      </c>
      <c r="N179" s="4" t="s">
        <v>109</v>
      </c>
      <c r="O179" s="69">
        <v>45567</v>
      </c>
      <c r="Q179" s="4" t="s">
        <v>109</v>
      </c>
      <c r="R179" s="4" t="s">
        <v>109</v>
      </c>
      <c r="S179" s="4" t="s">
        <v>109</v>
      </c>
      <c r="T179" s="4" t="s">
        <v>109</v>
      </c>
      <c r="U179" s="4" t="s">
        <v>116</v>
      </c>
      <c r="V179" s="4" t="s">
        <v>3022</v>
      </c>
      <c r="W179" s="4" t="b">
        <v>0</v>
      </c>
      <c r="X179" s="4" t="s">
        <v>109</v>
      </c>
      <c r="Y179" s="4" t="s">
        <v>429</v>
      </c>
      <c r="AA179" s="4" t="s">
        <v>109</v>
      </c>
      <c r="AB179" s="4">
        <v>0.76</v>
      </c>
      <c r="AC179" s="4" t="s">
        <v>109</v>
      </c>
      <c r="AD179" s="4" t="s">
        <v>109</v>
      </c>
      <c r="AE179" s="4">
        <v>4.3</v>
      </c>
      <c r="AF179" s="4" t="s">
        <v>3672</v>
      </c>
      <c r="AG179" s="5" t="s">
        <v>3659</v>
      </c>
      <c r="AH179" s="5" t="s">
        <v>3673</v>
      </c>
      <c r="AI179" s="4">
        <v>1</v>
      </c>
      <c r="AJ179" s="4" t="s">
        <v>3660</v>
      </c>
      <c r="AK179" s="4" t="s">
        <v>121</v>
      </c>
      <c r="AL179" s="4" t="s">
        <v>3027</v>
      </c>
      <c r="AM179" s="69">
        <v>44063</v>
      </c>
      <c r="AN179" s="4" t="s">
        <v>122</v>
      </c>
      <c r="AO179" s="4" t="s">
        <v>109</v>
      </c>
      <c r="AP179" s="217" t="s">
        <v>109</v>
      </c>
      <c r="AQ179" s="4" t="b">
        <v>0</v>
      </c>
      <c r="AR179" s="4" t="s">
        <v>109</v>
      </c>
      <c r="AS179" s="4" t="s">
        <v>109</v>
      </c>
      <c r="AT179" s="4" t="s">
        <v>109</v>
      </c>
      <c r="AU179" s="4" t="b">
        <v>0</v>
      </c>
      <c r="AV179" s="4" t="s">
        <v>109</v>
      </c>
      <c r="AW179" s="4" t="s">
        <v>118</v>
      </c>
      <c r="AY179" s="4" t="s">
        <v>109</v>
      </c>
      <c r="AZ179" s="4" t="s">
        <v>109</v>
      </c>
      <c r="BA179" s="4" t="s">
        <v>118</v>
      </c>
      <c r="BB179" s="4" t="s">
        <v>118</v>
      </c>
      <c r="BC179" s="4" t="s">
        <v>135</v>
      </c>
      <c r="BD179" s="69" t="s">
        <v>109</v>
      </c>
      <c r="BE179" s="6" t="s">
        <v>109</v>
      </c>
      <c r="BF179" s="4" t="s">
        <v>109</v>
      </c>
      <c r="BG179" s="4" t="s">
        <v>322</v>
      </c>
      <c r="BH179" s="4" t="s">
        <v>109</v>
      </c>
      <c r="BI179" s="75">
        <v>45355</v>
      </c>
      <c r="BJ179" s="69">
        <v>44561</v>
      </c>
      <c r="BK179" s="75">
        <v>45671</v>
      </c>
      <c r="BL179" s="97" t="s">
        <v>109</v>
      </c>
      <c r="BM179" s="4" t="s">
        <v>109</v>
      </c>
      <c r="BN179" s="4" t="b">
        <v>1</v>
      </c>
      <c r="BO179" s="130" t="s">
        <v>118</v>
      </c>
      <c r="BP179" s="4" t="s">
        <v>128</v>
      </c>
      <c r="CF179" s="4" t="s">
        <v>1346</v>
      </c>
      <c r="CS179" s="143"/>
      <c r="CU179" s="216" t="s">
        <v>3060</v>
      </c>
      <c r="CW179" s="4" t="s">
        <v>3144</v>
      </c>
      <c r="CX179" s="39"/>
    </row>
    <row r="180" spans="1:102" x14ac:dyDescent="0.3">
      <c r="A180" s="2">
        <v>200</v>
      </c>
      <c r="B180" s="43" t="s">
        <v>1347</v>
      </c>
      <c r="C180" s="52" t="s">
        <v>109</v>
      </c>
      <c r="D180" s="2" t="s">
        <v>109</v>
      </c>
      <c r="E180" s="2" t="s">
        <v>191</v>
      </c>
      <c r="F180" s="47" t="s">
        <v>1321</v>
      </c>
      <c r="G180" s="67" t="s">
        <v>133</v>
      </c>
      <c r="H180" s="2" t="s">
        <v>113</v>
      </c>
      <c r="I180" s="2" t="s">
        <v>109</v>
      </c>
      <c r="J180" s="2" t="s">
        <v>109</v>
      </c>
      <c r="K180" s="2" t="s">
        <v>114</v>
      </c>
      <c r="L180" s="2" t="s">
        <v>159</v>
      </c>
      <c r="M180" s="2" t="s">
        <v>109</v>
      </c>
      <c r="N180" s="2" t="s">
        <v>109</v>
      </c>
      <c r="O180" s="2" t="s">
        <v>109</v>
      </c>
      <c r="Q180" s="2" t="s">
        <v>109</v>
      </c>
      <c r="R180" s="2" t="s">
        <v>109</v>
      </c>
      <c r="S180" s="2" t="s">
        <v>109</v>
      </c>
      <c r="T180" s="2" t="s">
        <v>109</v>
      </c>
      <c r="U180" s="2" t="s">
        <v>116</v>
      </c>
      <c r="V180" s="2" t="s">
        <v>3022</v>
      </c>
      <c r="W180" s="2" t="b">
        <v>0</v>
      </c>
      <c r="X180" s="2" t="s">
        <v>109</v>
      </c>
      <c r="Y180" s="2" t="s">
        <v>429</v>
      </c>
      <c r="AA180" s="2" t="s">
        <v>109</v>
      </c>
      <c r="AB180" s="2" t="s">
        <v>109</v>
      </c>
      <c r="AC180" s="2" t="s">
        <v>109</v>
      </c>
      <c r="AD180" s="2" t="s">
        <v>109</v>
      </c>
      <c r="AE180" s="2">
        <v>4.3</v>
      </c>
      <c r="AF180" s="2" t="s">
        <v>3023</v>
      </c>
      <c r="AG180" s="3" t="s">
        <v>3659</v>
      </c>
      <c r="AH180" s="3" t="s">
        <v>3674</v>
      </c>
      <c r="AI180" s="2">
        <v>4</v>
      </c>
      <c r="AJ180" s="2" t="s">
        <v>3660</v>
      </c>
      <c r="AK180" s="2" t="s">
        <v>121</v>
      </c>
      <c r="AL180" s="2" t="s">
        <v>3027</v>
      </c>
      <c r="AM180" s="68">
        <v>44243</v>
      </c>
      <c r="AN180" s="2" t="s">
        <v>122</v>
      </c>
      <c r="AO180" s="2" t="s">
        <v>109</v>
      </c>
      <c r="AP180" s="109" t="s">
        <v>109</v>
      </c>
      <c r="AQ180" s="2" t="b">
        <v>0</v>
      </c>
      <c r="AR180" s="2" t="s">
        <v>109</v>
      </c>
      <c r="AS180" s="2" t="s">
        <v>109</v>
      </c>
      <c r="AT180" s="2" t="s">
        <v>109</v>
      </c>
      <c r="AU180" s="2" t="b">
        <v>0</v>
      </c>
      <c r="AV180" s="2" t="s">
        <v>109</v>
      </c>
      <c r="AW180" s="2" t="s">
        <v>118</v>
      </c>
      <c r="AY180" s="2" t="s">
        <v>109</v>
      </c>
      <c r="AZ180" s="2" t="s">
        <v>109</v>
      </c>
      <c r="BA180" s="2" t="s">
        <v>118</v>
      </c>
      <c r="BB180" s="2" t="s">
        <v>118</v>
      </c>
      <c r="BC180" s="2" t="s">
        <v>135</v>
      </c>
      <c r="BD180" s="68" t="s">
        <v>109</v>
      </c>
      <c r="BE180" s="7" t="s">
        <v>109</v>
      </c>
      <c r="BF180" s="2" t="s">
        <v>109</v>
      </c>
      <c r="BG180" s="2" t="s">
        <v>126</v>
      </c>
      <c r="BH180" s="2" t="s">
        <v>109</v>
      </c>
      <c r="BI180" s="76" t="s">
        <v>109</v>
      </c>
      <c r="BJ180" s="68">
        <v>44561</v>
      </c>
      <c r="BK180" s="76" t="s">
        <v>109</v>
      </c>
      <c r="BL180" s="98" t="s">
        <v>109</v>
      </c>
      <c r="BM180" s="2" t="s">
        <v>109</v>
      </c>
      <c r="BN180" s="98" t="b">
        <v>0</v>
      </c>
      <c r="BO180" s="85" t="s">
        <v>118</v>
      </c>
      <c r="BP180" s="2" t="s">
        <v>128</v>
      </c>
      <c r="CF180" s="2" t="s">
        <v>2364</v>
      </c>
      <c r="CS180" s="142" t="s">
        <v>3675</v>
      </c>
      <c r="CU180" s="132" t="s">
        <v>3060</v>
      </c>
      <c r="CW180" s="2" t="s">
        <v>3029</v>
      </c>
      <c r="CX180" s="38"/>
    </row>
    <row r="181" spans="1:102" x14ac:dyDescent="0.3">
      <c r="A181" s="4">
        <v>201</v>
      </c>
      <c r="B181" s="217" t="s">
        <v>3676</v>
      </c>
      <c r="C181" s="56"/>
      <c r="D181" s="4"/>
      <c r="E181" s="4"/>
      <c r="F181" s="46"/>
      <c r="G181" s="64"/>
      <c r="H181" s="64"/>
      <c r="I181" s="64"/>
      <c r="J181" s="64"/>
      <c r="K181" s="64"/>
      <c r="L181" s="64"/>
      <c r="M181" s="64"/>
      <c r="N181" s="64"/>
      <c r="O181" s="64"/>
      <c r="Q181" s="64"/>
      <c r="R181" s="64"/>
      <c r="S181" s="64"/>
      <c r="T181" s="64"/>
      <c r="U181" s="87"/>
      <c r="V181" s="4"/>
      <c r="W181" s="4"/>
      <c r="X181" s="4"/>
      <c r="Y181" s="4" t="s">
        <v>429</v>
      </c>
      <c r="AA181" s="4"/>
      <c r="AB181" s="4"/>
      <c r="AC181" s="4"/>
      <c r="AD181" s="91"/>
      <c r="AE181" s="4"/>
      <c r="AF181" s="4" t="s">
        <v>3677</v>
      </c>
      <c r="AG181" s="5" t="s">
        <v>3659</v>
      </c>
      <c r="AH181" s="5" t="s">
        <v>3678</v>
      </c>
      <c r="AI181" s="4"/>
      <c r="AJ181" s="4" t="s">
        <v>3660</v>
      </c>
      <c r="AK181" s="4"/>
      <c r="AL181" s="4" t="s">
        <v>3053</v>
      </c>
      <c r="AM181" s="69"/>
      <c r="AN181" s="91"/>
      <c r="AO181" s="4"/>
      <c r="AP181" s="217"/>
      <c r="AQ181" s="4"/>
      <c r="AR181" s="4"/>
      <c r="AS181" s="4"/>
      <c r="AT181" s="4"/>
      <c r="AU181" s="91"/>
      <c r="AV181" s="4"/>
      <c r="AW181" s="4"/>
      <c r="AY181" s="4"/>
      <c r="AZ181" s="4"/>
      <c r="BA181" s="4"/>
      <c r="BB181" s="4"/>
      <c r="BC181" s="4" t="s">
        <v>135</v>
      </c>
      <c r="BD181" s="4"/>
      <c r="BE181" s="4"/>
      <c r="BF181" s="4"/>
      <c r="BG181" s="4"/>
      <c r="BH181" s="4"/>
      <c r="BI181" s="69">
        <v>45862</v>
      </c>
      <c r="BJ181" s="69"/>
      <c r="BK181" s="69">
        <v>45925</v>
      </c>
      <c r="BL181" s="97"/>
      <c r="BM181" s="4"/>
      <c r="BN181" s="4"/>
      <c r="BO181" s="91"/>
      <c r="BP181" s="4"/>
      <c r="CF181" s="4"/>
      <c r="CS181" s="147"/>
      <c r="CU181" s="216" t="s">
        <v>3028</v>
      </c>
      <c r="CW181" s="4" t="s">
        <v>3173</v>
      </c>
      <c r="CX181" s="39"/>
    </row>
    <row r="182" spans="1:102" x14ac:dyDescent="0.3">
      <c r="A182" s="2">
        <v>202</v>
      </c>
      <c r="B182" s="43" t="s">
        <v>1356</v>
      </c>
      <c r="C182" s="51">
        <v>32.862245999999999</v>
      </c>
      <c r="D182" s="51">
        <v>-117.18267299999999</v>
      </c>
      <c r="E182" s="2" t="s">
        <v>329</v>
      </c>
      <c r="F182" s="47" t="s">
        <v>1357</v>
      </c>
      <c r="G182" s="2" t="s">
        <v>811</v>
      </c>
      <c r="H182" s="2" t="s">
        <v>146</v>
      </c>
      <c r="I182" s="2" t="s">
        <v>109</v>
      </c>
      <c r="J182" s="2" t="s">
        <v>109</v>
      </c>
      <c r="K182" s="2" t="s">
        <v>662</v>
      </c>
      <c r="L182" s="2" t="s">
        <v>303</v>
      </c>
      <c r="M182" s="2" t="s">
        <v>109</v>
      </c>
      <c r="N182" s="2" t="s">
        <v>109</v>
      </c>
      <c r="O182" s="68">
        <v>45307.5</v>
      </c>
      <c r="Q182" s="2">
        <v>18</v>
      </c>
      <c r="R182" s="2" t="s">
        <v>109</v>
      </c>
      <c r="S182" s="2" t="s">
        <v>109</v>
      </c>
      <c r="T182" s="2" t="s">
        <v>109</v>
      </c>
      <c r="U182" s="2" t="s">
        <v>404</v>
      </c>
      <c r="V182" s="2" t="s">
        <v>3201</v>
      </c>
      <c r="W182" s="2" t="b">
        <v>0</v>
      </c>
      <c r="X182" s="2" t="s">
        <v>109</v>
      </c>
      <c r="Y182" s="2" t="s">
        <v>1355</v>
      </c>
      <c r="AA182" s="51">
        <v>2.9734590000000001</v>
      </c>
      <c r="AB182" s="2" t="s">
        <v>118</v>
      </c>
      <c r="AC182" s="2">
        <v>230</v>
      </c>
      <c r="AD182" s="2" t="s">
        <v>109</v>
      </c>
      <c r="AE182" s="2">
        <v>1.2</v>
      </c>
      <c r="AF182" s="2" t="s">
        <v>3679</v>
      </c>
      <c r="AG182" s="3" t="s">
        <v>3680</v>
      </c>
      <c r="AH182" s="3" t="s">
        <v>3681</v>
      </c>
      <c r="AI182" s="2">
        <v>1</v>
      </c>
      <c r="AJ182" s="2" t="s">
        <v>3682</v>
      </c>
      <c r="AK182" s="2" t="s">
        <v>121</v>
      </c>
      <c r="AL182" s="2" t="s">
        <v>3027</v>
      </c>
      <c r="AM182" s="68">
        <v>43881</v>
      </c>
      <c r="AN182" s="2" t="s">
        <v>122</v>
      </c>
      <c r="AO182" s="2">
        <v>2017</v>
      </c>
      <c r="AP182" s="109" t="s">
        <v>118</v>
      </c>
      <c r="AQ182" s="2" t="b">
        <v>0</v>
      </c>
      <c r="AR182" s="2" t="s">
        <v>118</v>
      </c>
      <c r="AS182" s="2" t="s">
        <v>118</v>
      </c>
      <c r="AT182" s="2" t="s">
        <v>118</v>
      </c>
      <c r="AU182" s="2" t="b">
        <v>0</v>
      </c>
      <c r="AV182" s="2" t="s">
        <v>109</v>
      </c>
      <c r="AW182" s="2" t="s">
        <v>118</v>
      </c>
      <c r="AY182" s="2" t="s">
        <v>124</v>
      </c>
      <c r="AZ182" s="2" t="s">
        <v>109</v>
      </c>
      <c r="BA182" s="2" t="s">
        <v>118</v>
      </c>
      <c r="BB182" s="2" t="s">
        <v>118</v>
      </c>
      <c r="BC182" s="2" t="s">
        <v>135</v>
      </c>
      <c r="BD182" s="2" t="s">
        <v>109</v>
      </c>
      <c r="BE182" s="2" t="s">
        <v>494</v>
      </c>
      <c r="BF182" s="2">
        <v>2018</v>
      </c>
      <c r="BG182" s="2" t="s">
        <v>126</v>
      </c>
      <c r="BH182" s="2" t="s">
        <v>109</v>
      </c>
      <c r="BI182" s="68">
        <v>43756</v>
      </c>
      <c r="BJ182" s="68">
        <v>44561</v>
      </c>
      <c r="BK182" s="68">
        <v>43921</v>
      </c>
      <c r="BL182" s="98" t="s">
        <v>109</v>
      </c>
      <c r="BM182" s="2" t="s">
        <v>109</v>
      </c>
      <c r="BN182" s="98" t="b">
        <v>0</v>
      </c>
      <c r="BO182" s="85">
        <v>22646.466</v>
      </c>
      <c r="BP182" s="2" t="s">
        <v>128</v>
      </c>
      <c r="CF182" s="2" t="s">
        <v>157</v>
      </c>
      <c r="CS182" s="142"/>
      <c r="CU182" s="132" t="s">
        <v>3187</v>
      </c>
      <c r="CW182" s="2" t="s">
        <v>3683</v>
      </c>
      <c r="CX182" s="38"/>
    </row>
    <row r="183" spans="1:102" x14ac:dyDescent="0.3">
      <c r="A183" s="4">
        <v>204</v>
      </c>
      <c r="B183" s="44" t="s">
        <v>1362</v>
      </c>
      <c r="C183" s="53">
        <v>32.623781999999999</v>
      </c>
      <c r="D183" s="53">
        <v>-117.028868</v>
      </c>
      <c r="E183" s="4" t="s">
        <v>1363</v>
      </c>
      <c r="F183" s="46" t="s">
        <v>1364</v>
      </c>
      <c r="G183" s="4" t="s">
        <v>811</v>
      </c>
      <c r="H183" s="4" t="s">
        <v>112</v>
      </c>
      <c r="I183" s="4" t="s">
        <v>109</v>
      </c>
      <c r="J183" s="4" t="s">
        <v>109</v>
      </c>
      <c r="K183" s="4" t="s">
        <v>192</v>
      </c>
      <c r="L183" s="4" t="s">
        <v>904</v>
      </c>
      <c r="M183" s="4" t="s">
        <v>505</v>
      </c>
      <c r="N183" s="4" t="s">
        <v>109</v>
      </c>
      <c r="O183" s="69" t="s">
        <v>109</v>
      </c>
      <c r="Q183" s="4">
        <v>18</v>
      </c>
      <c r="R183" s="4" t="s">
        <v>508</v>
      </c>
      <c r="S183" s="4" t="s">
        <v>1036</v>
      </c>
      <c r="T183" s="4" t="s">
        <v>109</v>
      </c>
      <c r="U183" s="4" t="s">
        <v>404</v>
      </c>
      <c r="V183" s="4" t="s">
        <v>3022</v>
      </c>
      <c r="W183" s="4" t="b">
        <v>0</v>
      </c>
      <c r="X183" s="4" t="s">
        <v>487</v>
      </c>
      <c r="Y183" s="4" t="s">
        <v>1361</v>
      </c>
      <c r="AA183" s="53">
        <v>9.8716249999999999</v>
      </c>
      <c r="AB183" s="4" t="s">
        <v>118</v>
      </c>
      <c r="AC183" s="4">
        <v>230</v>
      </c>
      <c r="AD183" s="4" t="s">
        <v>109</v>
      </c>
      <c r="AE183" s="4">
        <v>2.1</v>
      </c>
      <c r="AF183" s="4" t="s">
        <v>3684</v>
      </c>
      <c r="AG183" s="5" t="s">
        <v>3685</v>
      </c>
      <c r="AH183" s="5" t="s">
        <v>3686</v>
      </c>
      <c r="AI183" s="4">
        <v>1</v>
      </c>
      <c r="AJ183" s="4" t="s">
        <v>3687</v>
      </c>
      <c r="AK183" s="4" t="s">
        <v>121</v>
      </c>
      <c r="AL183" s="4" t="s">
        <v>3053</v>
      </c>
      <c r="AM183" s="69" t="s">
        <v>109</v>
      </c>
      <c r="AN183" s="4" t="s">
        <v>122</v>
      </c>
      <c r="AO183" s="4">
        <v>2017</v>
      </c>
      <c r="AP183" s="217">
        <v>2015</v>
      </c>
      <c r="AQ183" s="4" t="b">
        <v>0</v>
      </c>
      <c r="AR183" s="4">
        <v>2016</v>
      </c>
      <c r="AS183" s="4" t="s">
        <v>109</v>
      </c>
      <c r="AT183" s="4" t="s">
        <v>1367</v>
      </c>
      <c r="AU183" s="4" t="b">
        <v>0</v>
      </c>
      <c r="AV183" s="4" t="s">
        <v>109</v>
      </c>
      <c r="AW183" s="4" t="s">
        <v>118</v>
      </c>
      <c r="AY183" s="4" t="s">
        <v>124</v>
      </c>
      <c r="AZ183" s="4" t="s">
        <v>109</v>
      </c>
      <c r="BA183" s="4" t="s">
        <v>118</v>
      </c>
      <c r="BB183" s="4" t="s">
        <v>118</v>
      </c>
      <c r="BC183" s="4" t="s">
        <v>135</v>
      </c>
      <c r="BD183" s="4" t="s">
        <v>109</v>
      </c>
      <c r="BE183" s="4" t="s">
        <v>109</v>
      </c>
      <c r="BF183" s="4" t="s">
        <v>109</v>
      </c>
      <c r="BG183" s="4" t="s">
        <v>126</v>
      </c>
      <c r="BH183" s="4" t="s">
        <v>109</v>
      </c>
      <c r="BI183" s="75">
        <v>43192</v>
      </c>
      <c r="BJ183" s="69">
        <v>43252</v>
      </c>
      <c r="BK183" s="75">
        <v>43698</v>
      </c>
      <c r="BL183" s="97" t="s">
        <v>699</v>
      </c>
      <c r="BM183" s="4" t="s">
        <v>521</v>
      </c>
      <c r="BN183" s="4" t="b">
        <v>1</v>
      </c>
      <c r="BO183" s="130">
        <v>24499.998</v>
      </c>
      <c r="BP183" s="4" t="s">
        <v>128</v>
      </c>
      <c r="CF183" s="4" t="s">
        <v>683</v>
      </c>
      <c r="CS183" s="143"/>
      <c r="CU183" s="216" t="s">
        <v>3187</v>
      </c>
      <c r="CW183" s="4" t="s">
        <v>3688</v>
      </c>
      <c r="CX183" s="39"/>
    </row>
    <row r="184" spans="1:102" x14ac:dyDescent="0.3">
      <c r="A184" s="2">
        <v>205</v>
      </c>
      <c r="B184" s="43" t="s">
        <v>1372</v>
      </c>
      <c r="C184" s="51">
        <v>32.711568999999997</v>
      </c>
      <c r="D184" s="51">
        <v>-117.150372</v>
      </c>
      <c r="E184" s="2" t="s">
        <v>329</v>
      </c>
      <c r="F184" s="47" t="s">
        <v>1373</v>
      </c>
      <c r="G184" s="2" t="s">
        <v>811</v>
      </c>
      <c r="H184" s="2" t="s">
        <v>113</v>
      </c>
      <c r="I184" s="2" t="s">
        <v>109</v>
      </c>
      <c r="J184" s="2" t="s">
        <v>109</v>
      </c>
      <c r="K184" s="2" t="s">
        <v>704</v>
      </c>
      <c r="L184" s="2" t="s">
        <v>896</v>
      </c>
      <c r="M184" s="2" t="s">
        <v>505</v>
      </c>
      <c r="N184" s="2" t="s">
        <v>109</v>
      </c>
      <c r="O184" s="68">
        <v>45223.5</v>
      </c>
      <c r="Q184" s="2">
        <v>16</v>
      </c>
      <c r="R184" s="2" t="s">
        <v>508</v>
      </c>
      <c r="S184" s="2" t="s">
        <v>509</v>
      </c>
      <c r="T184" s="2" t="s">
        <v>109</v>
      </c>
      <c r="U184" s="2" t="s">
        <v>116</v>
      </c>
      <c r="V184" s="2" t="s">
        <v>3022</v>
      </c>
      <c r="W184" s="2" t="b">
        <v>0</v>
      </c>
      <c r="X184" s="2" t="s">
        <v>487</v>
      </c>
      <c r="Y184" s="2" t="s">
        <v>820</v>
      </c>
      <c r="AA184" s="51">
        <v>1.9028400000000001</v>
      </c>
      <c r="AB184" s="2" t="s">
        <v>118</v>
      </c>
      <c r="AC184" s="2">
        <v>69</v>
      </c>
      <c r="AD184" s="2" t="s">
        <v>109</v>
      </c>
      <c r="AE184" s="2">
        <v>2.1</v>
      </c>
      <c r="AF184" s="2" t="s">
        <v>3689</v>
      </c>
      <c r="AG184" s="3" t="s">
        <v>3690</v>
      </c>
      <c r="AH184" s="3" t="s">
        <v>3691</v>
      </c>
      <c r="AI184" s="2">
        <v>1</v>
      </c>
      <c r="AJ184" s="2" t="s">
        <v>3692</v>
      </c>
      <c r="AK184" s="2" t="s">
        <v>121</v>
      </c>
      <c r="AL184" s="2" t="s">
        <v>3053</v>
      </c>
      <c r="AM184" s="68" t="s">
        <v>109</v>
      </c>
      <c r="AN184" s="2" t="s">
        <v>122</v>
      </c>
      <c r="AO184" s="2">
        <v>2017</v>
      </c>
      <c r="AP184" s="109">
        <v>2016</v>
      </c>
      <c r="AQ184" s="2" t="b">
        <v>0</v>
      </c>
      <c r="AR184" s="2">
        <v>2016</v>
      </c>
      <c r="AS184" s="2" t="s">
        <v>109</v>
      </c>
      <c r="AT184" s="2" t="s">
        <v>1367</v>
      </c>
      <c r="AU184" s="2" t="b">
        <v>0</v>
      </c>
      <c r="AV184" s="2" t="s">
        <v>109</v>
      </c>
      <c r="AW184" s="2" t="s">
        <v>118</v>
      </c>
      <c r="AY184" s="2" t="s">
        <v>109</v>
      </c>
      <c r="AZ184" s="2" t="s">
        <v>109</v>
      </c>
      <c r="BA184" s="2" t="s">
        <v>109</v>
      </c>
      <c r="BB184" s="2" t="s">
        <v>109</v>
      </c>
      <c r="BC184" s="2" t="s">
        <v>135</v>
      </c>
      <c r="BD184" s="2" t="s">
        <v>109</v>
      </c>
      <c r="BE184" s="2" t="s">
        <v>494</v>
      </c>
      <c r="BF184" s="2">
        <v>2023</v>
      </c>
      <c r="BG184" s="2" t="s">
        <v>126</v>
      </c>
      <c r="BH184" s="2" t="s">
        <v>109</v>
      </c>
      <c r="BI184" s="68">
        <v>45306</v>
      </c>
      <c r="BJ184" s="68">
        <v>43252</v>
      </c>
      <c r="BK184" s="68">
        <v>45616</v>
      </c>
      <c r="BL184" s="98" t="s">
        <v>699</v>
      </c>
      <c r="BM184" s="2" t="s">
        <v>1379</v>
      </c>
      <c r="BN184" s="7" t="b">
        <v>1</v>
      </c>
      <c r="BO184" s="85">
        <v>544.99999000000003</v>
      </c>
      <c r="BP184" s="2" t="s">
        <v>128</v>
      </c>
      <c r="CF184" s="2">
        <v>2025</v>
      </c>
      <c r="CS184" s="142"/>
      <c r="CU184" s="132" t="s">
        <v>3187</v>
      </c>
      <c r="CW184" s="2" t="s">
        <v>3693</v>
      </c>
      <c r="CX184" s="38"/>
    </row>
    <row r="185" spans="1:102" x14ac:dyDescent="0.3">
      <c r="A185" s="4">
        <v>206</v>
      </c>
      <c r="B185" s="44" t="s">
        <v>1380</v>
      </c>
      <c r="C185" s="53">
        <v>33.408999999999999</v>
      </c>
      <c r="D185" s="53">
        <v>-117.59</v>
      </c>
      <c r="E185" s="4" t="s">
        <v>789</v>
      </c>
      <c r="F185" s="46" t="s">
        <v>1381</v>
      </c>
      <c r="G185" s="4" t="s">
        <v>111</v>
      </c>
      <c r="H185" s="4" t="s">
        <v>146</v>
      </c>
      <c r="I185" s="4" t="s">
        <v>113</v>
      </c>
      <c r="J185" s="4" t="s">
        <v>109</v>
      </c>
      <c r="K185" s="4" t="s">
        <v>114</v>
      </c>
      <c r="L185" s="4" t="s">
        <v>115</v>
      </c>
      <c r="M185" s="4" t="s">
        <v>109</v>
      </c>
      <c r="N185" s="4" t="s">
        <v>109</v>
      </c>
      <c r="O185" s="69">
        <v>45580</v>
      </c>
      <c r="Q185" s="72" t="s">
        <v>1382</v>
      </c>
      <c r="R185" s="4" t="s">
        <v>109</v>
      </c>
      <c r="S185" s="4" t="s">
        <v>109</v>
      </c>
      <c r="T185" s="4" t="s">
        <v>109</v>
      </c>
      <c r="U185" s="4" t="s">
        <v>404</v>
      </c>
      <c r="V185" s="4" t="s">
        <v>3022</v>
      </c>
      <c r="W185" s="4" t="b">
        <v>1</v>
      </c>
      <c r="X185" s="4" t="s">
        <v>109</v>
      </c>
      <c r="Y185" s="4" t="s">
        <v>1032</v>
      </c>
      <c r="AA185" s="4" t="s">
        <v>118</v>
      </c>
      <c r="AB185" s="53">
        <v>0.54200000000000004</v>
      </c>
      <c r="AC185" s="4">
        <v>138</v>
      </c>
      <c r="AD185" s="4" t="s">
        <v>1383</v>
      </c>
      <c r="AE185" s="4">
        <v>4.0999999999999996</v>
      </c>
      <c r="AF185" s="4" t="s">
        <v>3694</v>
      </c>
      <c r="AG185" s="5" t="s">
        <v>3695</v>
      </c>
      <c r="AH185" s="5" t="s">
        <v>3696</v>
      </c>
      <c r="AI185" s="4">
        <v>1</v>
      </c>
      <c r="AJ185" s="4" t="s">
        <v>3697</v>
      </c>
      <c r="AK185" s="4" t="s">
        <v>121</v>
      </c>
      <c r="AL185" s="4" t="s">
        <v>3027</v>
      </c>
      <c r="AM185" s="69" t="s">
        <v>3698</v>
      </c>
      <c r="AN185" s="4" t="s">
        <v>122</v>
      </c>
      <c r="AO185" s="4">
        <v>2018</v>
      </c>
      <c r="AP185" s="217" t="s">
        <v>109</v>
      </c>
      <c r="AQ185" s="4" t="b">
        <v>0</v>
      </c>
      <c r="AR185" s="4" t="s">
        <v>109</v>
      </c>
      <c r="AS185" s="4" t="s">
        <v>109</v>
      </c>
      <c r="AT185" s="4" t="s">
        <v>118</v>
      </c>
      <c r="AU185" s="4" t="b">
        <v>0</v>
      </c>
      <c r="AV185" s="4" t="s">
        <v>109</v>
      </c>
      <c r="AW185" s="4" t="s">
        <v>109</v>
      </c>
      <c r="AY185" s="4" t="s">
        <v>109</v>
      </c>
      <c r="AZ185" s="4" t="s">
        <v>109</v>
      </c>
      <c r="BA185" s="4" t="s">
        <v>118</v>
      </c>
      <c r="BB185" s="4" t="s">
        <v>118</v>
      </c>
      <c r="BC185" s="4" t="s">
        <v>492</v>
      </c>
      <c r="BD185" s="4" t="s">
        <v>109</v>
      </c>
      <c r="BE185" s="4" t="s">
        <v>109</v>
      </c>
      <c r="BF185" s="4" t="s">
        <v>109</v>
      </c>
      <c r="BG185" s="4" t="s">
        <v>397</v>
      </c>
      <c r="BH185" s="4" t="s">
        <v>109</v>
      </c>
      <c r="BI185" s="69" t="s">
        <v>109</v>
      </c>
      <c r="BJ185" s="69">
        <v>44196</v>
      </c>
      <c r="BK185" s="69" t="s">
        <v>109</v>
      </c>
      <c r="BL185" s="97" t="s">
        <v>109</v>
      </c>
      <c r="BM185" s="4" t="s">
        <v>109</v>
      </c>
      <c r="BN185" s="97" t="b">
        <v>0</v>
      </c>
      <c r="BO185" s="130">
        <v>1240</v>
      </c>
      <c r="BP185" s="4" t="s">
        <v>128</v>
      </c>
      <c r="CF185" s="4" t="s">
        <v>109</v>
      </c>
      <c r="CS185" s="143"/>
      <c r="CU185" s="216" t="s">
        <v>3028</v>
      </c>
      <c r="CW185" s="4" t="s">
        <v>3699</v>
      </c>
      <c r="CX185" s="40"/>
    </row>
    <row r="186" spans="1:102" x14ac:dyDescent="0.3">
      <c r="A186" s="2">
        <v>207</v>
      </c>
      <c r="B186" s="43" t="s">
        <v>1387</v>
      </c>
      <c r="C186" s="2" t="s">
        <v>109</v>
      </c>
      <c r="D186" s="2" t="s">
        <v>109</v>
      </c>
      <c r="E186" s="2" t="s">
        <v>1060</v>
      </c>
      <c r="F186" s="47" t="s">
        <v>1388</v>
      </c>
      <c r="G186" s="2" t="s">
        <v>233</v>
      </c>
      <c r="H186" s="2" t="s">
        <v>112</v>
      </c>
      <c r="I186" s="2" t="s">
        <v>109</v>
      </c>
      <c r="J186" s="2" t="s">
        <v>109</v>
      </c>
      <c r="K186" s="2" t="s">
        <v>704</v>
      </c>
      <c r="L186" s="2" t="s">
        <v>207</v>
      </c>
      <c r="M186" s="2" t="s">
        <v>109</v>
      </c>
      <c r="N186" s="2" t="s">
        <v>109</v>
      </c>
      <c r="O186" s="2" t="s">
        <v>109</v>
      </c>
      <c r="Q186" s="7">
        <v>18</v>
      </c>
      <c r="R186" s="2" t="s">
        <v>109</v>
      </c>
      <c r="S186" s="2" t="s">
        <v>109</v>
      </c>
      <c r="T186" s="2" t="s">
        <v>109</v>
      </c>
      <c r="U186" s="2" t="s">
        <v>116</v>
      </c>
      <c r="V186" s="2" t="s">
        <v>3022</v>
      </c>
      <c r="W186" s="2" t="b">
        <v>1</v>
      </c>
      <c r="X186" s="2" t="s">
        <v>109</v>
      </c>
      <c r="Y186" s="2" t="s">
        <v>1386</v>
      </c>
      <c r="AA186" s="2" t="s">
        <v>118</v>
      </c>
      <c r="AB186" s="2" t="s">
        <v>118</v>
      </c>
      <c r="AC186" s="2" t="s">
        <v>1390</v>
      </c>
      <c r="AD186" s="2" t="s">
        <v>109</v>
      </c>
      <c r="AE186" s="2">
        <v>1.3</v>
      </c>
      <c r="AF186" s="2" t="s">
        <v>3030</v>
      </c>
      <c r="AG186" s="3" t="s">
        <v>3700</v>
      </c>
      <c r="AH186" s="3" t="s">
        <v>3701</v>
      </c>
      <c r="AI186" s="2">
        <v>1</v>
      </c>
      <c r="AJ186" s="2" t="s">
        <v>3702</v>
      </c>
      <c r="AK186" s="2" t="s">
        <v>121</v>
      </c>
      <c r="AL186" s="2" t="s">
        <v>3027</v>
      </c>
      <c r="AM186" s="68">
        <v>42745</v>
      </c>
      <c r="AN186" s="2" t="s">
        <v>122</v>
      </c>
      <c r="AO186" s="2">
        <v>2019</v>
      </c>
      <c r="AP186" s="109" t="s">
        <v>109</v>
      </c>
      <c r="AQ186" s="2" t="b">
        <v>0</v>
      </c>
      <c r="AR186" s="2" t="s">
        <v>109</v>
      </c>
      <c r="AS186" s="2" t="s">
        <v>109</v>
      </c>
      <c r="AT186" s="2" t="s">
        <v>118</v>
      </c>
      <c r="AU186" s="2" t="b">
        <v>0</v>
      </c>
      <c r="AV186" s="2" t="s">
        <v>109</v>
      </c>
      <c r="AW186" s="2" t="s">
        <v>118</v>
      </c>
      <c r="AY186" s="2" t="s">
        <v>109</v>
      </c>
      <c r="AZ186" s="2" t="s">
        <v>109</v>
      </c>
      <c r="BA186" s="2" t="s">
        <v>118</v>
      </c>
      <c r="BB186" s="2" t="s">
        <v>118</v>
      </c>
      <c r="BC186" s="2" t="s">
        <v>109</v>
      </c>
      <c r="BD186" s="2" t="s">
        <v>109</v>
      </c>
      <c r="BE186" s="2" t="s">
        <v>109</v>
      </c>
      <c r="BF186" s="2" t="s">
        <v>109</v>
      </c>
      <c r="BG186" s="2" t="s">
        <v>296</v>
      </c>
      <c r="BH186" s="2" t="s">
        <v>109</v>
      </c>
      <c r="BI186" s="68" t="s">
        <v>109</v>
      </c>
      <c r="BJ186" s="68">
        <v>45138</v>
      </c>
      <c r="BK186" s="68" t="s">
        <v>3703</v>
      </c>
      <c r="BL186" s="98" t="s">
        <v>109</v>
      </c>
      <c r="BM186" s="2" t="s">
        <v>109</v>
      </c>
      <c r="BN186" s="2" t="b">
        <v>1</v>
      </c>
      <c r="BO186" s="85">
        <v>1356.2741900000001</v>
      </c>
      <c r="BP186" s="2" t="s">
        <v>128</v>
      </c>
      <c r="CF186" s="2" t="s">
        <v>528</v>
      </c>
      <c r="CS186" s="142"/>
      <c r="CU186" s="132" t="s">
        <v>3028</v>
      </c>
      <c r="CW186" s="2" t="s">
        <v>3029</v>
      </c>
      <c r="CX186" s="41"/>
    </row>
    <row r="187" spans="1:102" x14ac:dyDescent="0.3">
      <c r="A187" s="4">
        <v>210</v>
      </c>
      <c r="B187" s="44" t="s">
        <v>1394</v>
      </c>
      <c r="C187" s="53">
        <v>32.800806000000001</v>
      </c>
      <c r="D187" s="53">
        <v>-116.905007</v>
      </c>
      <c r="E187" s="4" t="s">
        <v>1395</v>
      </c>
      <c r="F187" s="46" t="s">
        <v>1396</v>
      </c>
      <c r="G187" s="4" t="s">
        <v>661</v>
      </c>
      <c r="H187" s="4" t="s">
        <v>113</v>
      </c>
      <c r="I187" s="4" t="s">
        <v>109</v>
      </c>
      <c r="J187" s="4" t="s">
        <v>109</v>
      </c>
      <c r="K187" s="4" t="s">
        <v>114</v>
      </c>
      <c r="L187" s="4" t="s">
        <v>663</v>
      </c>
      <c r="M187" s="4" t="s">
        <v>505</v>
      </c>
      <c r="N187" s="4" t="s">
        <v>109</v>
      </c>
      <c r="O187" s="69">
        <v>45594</v>
      </c>
      <c r="Q187" s="4">
        <v>18</v>
      </c>
      <c r="R187" s="4" t="s">
        <v>508</v>
      </c>
      <c r="S187" s="4" t="s">
        <v>1397</v>
      </c>
      <c r="T187" s="4" t="s">
        <v>1398</v>
      </c>
      <c r="U187" s="4" t="s">
        <v>116</v>
      </c>
      <c r="V187" s="4" t="s">
        <v>3022</v>
      </c>
      <c r="W187" s="4" t="b">
        <v>0</v>
      </c>
      <c r="X187" s="4" t="s">
        <v>109</v>
      </c>
      <c r="Y187" s="4" t="s">
        <v>820</v>
      </c>
      <c r="AA187" s="53">
        <v>2.1142880000000002</v>
      </c>
      <c r="AB187" s="4" t="s">
        <v>118</v>
      </c>
      <c r="AC187" s="4">
        <v>69</v>
      </c>
      <c r="AD187" s="4" t="s">
        <v>109</v>
      </c>
      <c r="AE187" s="4">
        <v>2.1</v>
      </c>
      <c r="AF187" s="4" t="s">
        <v>3704</v>
      </c>
      <c r="AG187" s="5" t="s">
        <v>3705</v>
      </c>
      <c r="AH187" s="5" t="s">
        <v>3706</v>
      </c>
      <c r="AI187" s="4">
        <v>1</v>
      </c>
      <c r="AJ187" s="4" t="s">
        <v>3707</v>
      </c>
      <c r="AK187" s="4" t="s">
        <v>121</v>
      </c>
      <c r="AL187" s="4" t="s">
        <v>3053</v>
      </c>
      <c r="AM187" s="69" t="s">
        <v>109</v>
      </c>
      <c r="AN187" s="4" t="s">
        <v>122</v>
      </c>
      <c r="AO187" s="4">
        <v>2017</v>
      </c>
      <c r="AP187" s="217">
        <v>2015</v>
      </c>
      <c r="AQ187" s="4" t="b">
        <v>0</v>
      </c>
      <c r="AR187" s="4">
        <v>2015</v>
      </c>
      <c r="AS187" s="4" t="s">
        <v>109</v>
      </c>
      <c r="AT187" s="4" t="s">
        <v>1402</v>
      </c>
      <c r="AU187" s="4" t="b">
        <v>0</v>
      </c>
      <c r="AV187" s="4" t="s">
        <v>123</v>
      </c>
      <c r="AW187" s="4" t="s">
        <v>109</v>
      </c>
      <c r="AY187" s="4" t="s">
        <v>109</v>
      </c>
      <c r="AZ187" s="4" t="s">
        <v>109</v>
      </c>
      <c r="BA187" s="4" t="s">
        <v>109</v>
      </c>
      <c r="BB187" s="4" t="s">
        <v>109</v>
      </c>
      <c r="BC187" s="4" t="s">
        <v>123</v>
      </c>
      <c r="BD187" s="4">
        <v>45687</v>
      </c>
      <c r="BE187" s="4" t="s">
        <v>125</v>
      </c>
      <c r="BF187" s="4">
        <v>2025</v>
      </c>
      <c r="BG187" s="4" t="s">
        <v>425</v>
      </c>
      <c r="BH187" s="4" t="s">
        <v>109</v>
      </c>
      <c r="BI187" s="69">
        <v>45987</v>
      </c>
      <c r="BJ187" s="69">
        <v>42887</v>
      </c>
      <c r="BK187" s="69">
        <v>46531</v>
      </c>
      <c r="BL187" s="97" t="s">
        <v>699</v>
      </c>
      <c r="BM187" s="4" t="s">
        <v>893</v>
      </c>
      <c r="BN187" s="97" t="b">
        <v>0</v>
      </c>
      <c r="BO187" s="130">
        <v>14057.888000000001</v>
      </c>
      <c r="BP187" s="4" t="s">
        <v>128</v>
      </c>
      <c r="CF187" s="4" t="s">
        <v>109</v>
      </c>
      <c r="CS187" s="143"/>
      <c r="CU187" s="216" t="s">
        <v>3187</v>
      </c>
      <c r="CW187" s="4" t="s">
        <v>3708</v>
      </c>
      <c r="CX187" s="40"/>
    </row>
    <row r="188" spans="1:102" x14ac:dyDescent="0.3">
      <c r="A188" s="2">
        <v>211</v>
      </c>
      <c r="B188" s="43" t="s">
        <v>1406</v>
      </c>
      <c r="C188" s="51">
        <v>32.761147000000001</v>
      </c>
      <c r="D188" s="51">
        <v>-117.21704</v>
      </c>
      <c r="E188" s="2" t="s">
        <v>329</v>
      </c>
      <c r="F188" s="47" t="s">
        <v>1407</v>
      </c>
      <c r="G188" s="2" t="s">
        <v>886</v>
      </c>
      <c r="H188" s="2" t="s">
        <v>146</v>
      </c>
      <c r="I188" s="2" t="s">
        <v>109</v>
      </c>
      <c r="J188" s="2" t="s">
        <v>109</v>
      </c>
      <c r="K188" s="2" t="s">
        <v>114</v>
      </c>
      <c r="L188" s="2" t="s">
        <v>251</v>
      </c>
      <c r="M188" s="2" t="s">
        <v>109</v>
      </c>
      <c r="N188" s="2" t="s">
        <v>109</v>
      </c>
      <c r="O188" s="68">
        <v>45434</v>
      </c>
      <c r="Q188" s="7" t="s">
        <v>1408</v>
      </c>
      <c r="R188" s="2" t="s">
        <v>109</v>
      </c>
      <c r="S188" s="2" t="s">
        <v>109</v>
      </c>
      <c r="T188" s="2" t="s">
        <v>109</v>
      </c>
      <c r="U188" s="2" t="s">
        <v>116</v>
      </c>
      <c r="V188" s="2" t="s">
        <v>3022</v>
      </c>
      <c r="W188" s="2" t="b">
        <v>0</v>
      </c>
      <c r="X188" s="2" t="s">
        <v>487</v>
      </c>
      <c r="Y188" s="2" t="s">
        <v>1355</v>
      </c>
      <c r="AA188" s="51">
        <v>1.322101</v>
      </c>
      <c r="AB188" s="2" t="s">
        <v>118</v>
      </c>
      <c r="AC188" s="2">
        <v>69</v>
      </c>
      <c r="AD188" s="2" t="s">
        <v>109</v>
      </c>
      <c r="AE188" s="2">
        <v>4.0999999999999996</v>
      </c>
      <c r="AF188" s="2" t="s">
        <v>3709</v>
      </c>
      <c r="AG188" s="3" t="s">
        <v>3710</v>
      </c>
      <c r="AH188" s="3" t="s">
        <v>3711</v>
      </c>
      <c r="AI188" s="2">
        <v>1</v>
      </c>
      <c r="AJ188" s="2" t="s">
        <v>3712</v>
      </c>
      <c r="AK188" s="2" t="s">
        <v>121</v>
      </c>
      <c r="AL188" s="2" t="s">
        <v>3027</v>
      </c>
      <c r="AM188" s="68">
        <v>45258</v>
      </c>
      <c r="AN188" s="2" t="s">
        <v>122</v>
      </c>
      <c r="AO188" s="2">
        <v>2017</v>
      </c>
      <c r="AP188" s="109" t="s">
        <v>118</v>
      </c>
      <c r="AQ188" s="2" t="b">
        <v>0</v>
      </c>
      <c r="AR188" s="2" t="s">
        <v>118</v>
      </c>
      <c r="AS188" s="2" t="s">
        <v>118</v>
      </c>
      <c r="AT188" s="2" t="s">
        <v>118</v>
      </c>
      <c r="AU188" s="2" t="b">
        <v>0</v>
      </c>
      <c r="AV188" s="2" t="s">
        <v>123</v>
      </c>
      <c r="AW188" s="2" t="s">
        <v>109</v>
      </c>
      <c r="AY188" s="2" t="s">
        <v>109</v>
      </c>
      <c r="AZ188" s="2" t="s">
        <v>109</v>
      </c>
      <c r="BA188" s="2" t="s">
        <v>109</v>
      </c>
      <c r="BB188" s="2" t="s">
        <v>109</v>
      </c>
      <c r="BC188" s="2" t="s">
        <v>123</v>
      </c>
      <c r="BD188" s="2" t="s">
        <v>109</v>
      </c>
      <c r="BE188" s="2" t="s">
        <v>125</v>
      </c>
      <c r="BF188" s="2">
        <v>2027</v>
      </c>
      <c r="BG188" s="2" t="s">
        <v>546</v>
      </c>
      <c r="BH188" s="2" t="s">
        <v>109</v>
      </c>
      <c r="BI188" s="68" t="s">
        <v>1411</v>
      </c>
      <c r="BJ188" s="68">
        <v>46387</v>
      </c>
      <c r="BK188" s="68">
        <v>46848</v>
      </c>
      <c r="BL188" s="98" t="s">
        <v>109</v>
      </c>
      <c r="BM188" s="2" t="s">
        <v>109</v>
      </c>
      <c r="BN188" s="98" t="b">
        <v>0</v>
      </c>
      <c r="BO188" s="85">
        <v>28043.923999999999</v>
      </c>
      <c r="BP188" s="2" t="s">
        <v>128</v>
      </c>
      <c r="CF188" s="2" t="s">
        <v>109</v>
      </c>
      <c r="CS188" s="142"/>
      <c r="CU188" s="132" t="s">
        <v>3187</v>
      </c>
      <c r="CW188" s="2" t="s">
        <v>3713</v>
      </c>
      <c r="CX188" s="38"/>
    </row>
    <row r="189" spans="1:102" ht="79.2" x14ac:dyDescent="0.3">
      <c r="A189" s="4">
        <v>212</v>
      </c>
      <c r="B189" s="44" t="s">
        <v>1413</v>
      </c>
      <c r="C189" s="53">
        <v>32.667079000000001</v>
      </c>
      <c r="D189" s="53">
        <v>-117.099065</v>
      </c>
      <c r="E189" s="4" t="s">
        <v>1414</v>
      </c>
      <c r="F189" s="46" t="s">
        <v>1415</v>
      </c>
      <c r="G189" s="4" t="s">
        <v>661</v>
      </c>
      <c r="H189" s="4" t="s">
        <v>113</v>
      </c>
      <c r="I189" s="4" t="s">
        <v>109</v>
      </c>
      <c r="J189" s="4" t="s">
        <v>109</v>
      </c>
      <c r="K189" s="4" t="s">
        <v>114</v>
      </c>
      <c r="L189" s="4" t="s">
        <v>663</v>
      </c>
      <c r="M189" s="4" t="s">
        <v>505</v>
      </c>
      <c r="N189" s="4" t="s">
        <v>109</v>
      </c>
      <c r="O189" s="69">
        <v>45344</v>
      </c>
      <c r="Q189" s="4">
        <v>57</v>
      </c>
      <c r="R189" s="4" t="s">
        <v>508</v>
      </c>
      <c r="S189" s="4" t="s">
        <v>1397</v>
      </c>
      <c r="T189" s="4" t="s">
        <v>109</v>
      </c>
      <c r="U189" s="4" t="s">
        <v>116</v>
      </c>
      <c r="V189" s="4" t="s">
        <v>3022</v>
      </c>
      <c r="W189" s="4" t="b">
        <v>0</v>
      </c>
      <c r="X189" s="4" t="s">
        <v>109</v>
      </c>
      <c r="Y189" s="4" t="s">
        <v>820</v>
      </c>
      <c r="AA189" s="53">
        <v>2.560737</v>
      </c>
      <c r="AB189" s="4" t="s">
        <v>118</v>
      </c>
      <c r="AC189" s="4">
        <v>69</v>
      </c>
      <c r="AD189" s="4" t="s">
        <v>109</v>
      </c>
      <c r="AE189" s="4">
        <v>2.1</v>
      </c>
      <c r="AF189" s="4" t="s">
        <v>3714</v>
      </c>
      <c r="AG189" s="5" t="s">
        <v>3715</v>
      </c>
      <c r="AH189" s="5" t="s">
        <v>3716</v>
      </c>
      <c r="AI189" s="4">
        <v>1</v>
      </c>
      <c r="AJ189" s="4" t="s">
        <v>3717</v>
      </c>
      <c r="AK189" s="4" t="s">
        <v>121</v>
      </c>
      <c r="AL189" s="4" t="s">
        <v>3053</v>
      </c>
      <c r="AM189" s="69" t="s">
        <v>109</v>
      </c>
      <c r="AN189" s="4" t="s">
        <v>122</v>
      </c>
      <c r="AO189" s="4">
        <v>2017</v>
      </c>
      <c r="AP189" s="217">
        <v>2013</v>
      </c>
      <c r="AQ189" s="4" t="b">
        <v>0</v>
      </c>
      <c r="AR189" s="4">
        <v>2013</v>
      </c>
      <c r="AS189" s="4" t="s">
        <v>109</v>
      </c>
      <c r="AT189" s="4" t="s">
        <v>962</v>
      </c>
      <c r="AU189" s="4" t="b">
        <v>0</v>
      </c>
      <c r="AV189" s="4" t="s">
        <v>123</v>
      </c>
      <c r="AW189" s="4" t="s">
        <v>109</v>
      </c>
      <c r="AY189" s="4" t="s">
        <v>109</v>
      </c>
      <c r="AZ189" s="4" t="s">
        <v>109</v>
      </c>
      <c r="BA189" s="4" t="s">
        <v>226</v>
      </c>
      <c r="BB189" s="4" t="s">
        <v>109</v>
      </c>
      <c r="BC189" s="4" t="s">
        <v>123</v>
      </c>
      <c r="BD189" s="4">
        <v>45807</v>
      </c>
      <c r="BE189" s="4" t="s">
        <v>125</v>
      </c>
      <c r="BF189" s="4">
        <v>2025</v>
      </c>
      <c r="BG189" s="4" t="s">
        <v>699</v>
      </c>
      <c r="BH189" s="4" t="s">
        <v>109</v>
      </c>
      <c r="BI189" s="69">
        <v>45973</v>
      </c>
      <c r="BJ189" s="69">
        <v>42887</v>
      </c>
      <c r="BK189" s="69">
        <v>46226</v>
      </c>
      <c r="BL189" s="97" t="s">
        <v>459</v>
      </c>
      <c r="BM189" s="4" t="s">
        <v>699</v>
      </c>
      <c r="BN189" s="97" t="b">
        <v>0</v>
      </c>
      <c r="BO189" s="130">
        <v>13584.367</v>
      </c>
      <c r="BP189" s="4" t="s">
        <v>128</v>
      </c>
      <c r="CF189" s="4" t="s">
        <v>109</v>
      </c>
      <c r="CS189" s="143" t="s">
        <v>1422</v>
      </c>
      <c r="CU189" s="216" t="s">
        <v>3187</v>
      </c>
      <c r="CW189" s="4" t="s">
        <v>3718</v>
      </c>
      <c r="CX189" s="39"/>
    </row>
    <row r="190" spans="1:102" x14ac:dyDescent="0.3">
      <c r="A190" s="2">
        <v>214</v>
      </c>
      <c r="B190" s="43" t="s">
        <v>1423</v>
      </c>
      <c r="C190" s="51">
        <v>32.920309000000003</v>
      </c>
      <c r="D190" s="51">
        <v>-117.203344</v>
      </c>
      <c r="E190" s="2" t="s">
        <v>329</v>
      </c>
      <c r="F190" s="47" t="s">
        <v>1424</v>
      </c>
      <c r="G190" s="2" t="s">
        <v>886</v>
      </c>
      <c r="H190" s="2" t="s">
        <v>113</v>
      </c>
      <c r="I190" s="2" t="s">
        <v>109</v>
      </c>
      <c r="J190" s="2" t="s">
        <v>109</v>
      </c>
      <c r="K190" s="2" t="s">
        <v>192</v>
      </c>
      <c r="L190" s="2" t="s">
        <v>812</v>
      </c>
      <c r="M190" s="2" t="s">
        <v>109</v>
      </c>
      <c r="N190" s="2" t="s">
        <v>109</v>
      </c>
      <c r="O190" s="68">
        <v>45408.5</v>
      </c>
      <c r="Q190" s="7" t="s">
        <v>1425</v>
      </c>
      <c r="R190" s="2" t="s">
        <v>508</v>
      </c>
      <c r="S190" s="2" t="s">
        <v>1397</v>
      </c>
      <c r="T190" s="2" t="s">
        <v>109</v>
      </c>
      <c r="U190" s="2" t="s">
        <v>404</v>
      </c>
      <c r="V190" s="2" t="s">
        <v>3275</v>
      </c>
      <c r="W190" s="2" t="b">
        <v>0</v>
      </c>
      <c r="X190" s="2" t="s">
        <v>109</v>
      </c>
      <c r="Y190" s="2" t="s">
        <v>820</v>
      </c>
      <c r="AA190" s="51">
        <v>9.1085989999999999</v>
      </c>
      <c r="AB190" s="2" t="s">
        <v>118</v>
      </c>
      <c r="AC190" s="2">
        <v>69</v>
      </c>
      <c r="AD190" s="2" t="s">
        <v>109</v>
      </c>
      <c r="AE190" s="2">
        <v>2.1</v>
      </c>
      <c r="AF190" s="2" t="s">
        <v>3719</v>
      </c>
      <c r="AG190" s="3" t="s">
        <v>3720</v>
      </c>
      <c r="AH190" s="3" t="s">
        <v>3721</v>
      </c>
      <c r="AI190" s="2">
        <v>1</v>
      </c>
      <c r="AJ190" s="2" t="s">
        <v>3722</v>
      </c>
      <c r="AK190" s="2" t="s">
        <v>121</v>
      </c>
      <c r="AL190" s="2" t="s">
        <v>3053</v>
      </c>
      <c r="AM190" s="68" t="s">
        <v>109</v>
      </c>
      <c r="AN190" s="2" t="s">
        <v>122</v>
      </c>
      <c r="AO190" s="2">
        <v>2017</v>
      </c>
      <c r="AP190" s="109">
        <v>2014</v>
      </c>
      <c r="AQ190" s="2" t="b">
        <v>0</v>
      </c>
      <c r="AR190" s="2">
        <v>2014</v>
      </c>
      <c r="AS190" s="2" t="s">
        <v>109</v>
      </c>
      <c r="AT190" s="2" t="s">
        <v>766</v>
      </c>
      <c r="AU190" s="2" t="b">
        <v>0</v>
      </c>
      <c r="AV190" s="2" t="s">
        <v>109</v>
      </c>
      <c r="AW190" s="2" t="s">
        <v>118</v>
      </c>
      <c r="AY190" s="2" t="s">
        <v>109</v>
      </c>
      <c r="AZ190" s="2" t="s">
        <v>109</v>
      </c>
      <c r="BA190" s="2" t="s">
        <v>109</v>
      </c>
      <c r="BB190" s="2" t="s">
        <v>109</v>
      </c>
      <c r="BC190" s="2" t="s">
        <v>135</v>
      </c>
      <c r="BD190" s="2" t="s">
        <v>109</v>
      </c>
      <c r="BE190" s="2" t="s">
        <v>109</v>
      </c>
      <c r="BF190" s="2" t="s">
        <v>109</v>
      </c>
      <c r="BG190" s="2" t="s">
        <v>126</v>
      </c>
      <c r="BH190" s="2" t="s">
        <v>109</v>
      </c>
      <c r="BI190" s="68">
        <v>43409</v>
      </c>
      <c r="BJ190" s="68">
        <v>43252</v>
      </c>
      <c r="BK190" s="68">
        <v>44048</v>
      </c>
      <c r="BL190" s="98" t="s">
        <v>459</v>
      </c>
      <c r="BM190" s="2" t="s">
        <v>609</v>
      </c>
      <c r="BN190" s="2" t="b">
        <v>1</v>
      </c>
      <c r="BO190" s="85">
        <v>2999.9999899999998</v>
      </c>
      <c r="BP190" s="2" t="s">
        <v>128</v>
      </c>
      <c r="CF190" s="2" t="s">
        <v>683</v>
      </c>
      <c r="CS190" s="142" t="s">
        <v>3723</v>
      </c>
      <c r="CU190" s="132" t="s">
        <v>3187</v>
      </c>
      <c r="CW190" s="2" t="s">
        <v>3724</v>
      </c>
      <c r="CX190" s="38"/>
    </row>
    <row r="191" spans="1:102" x14ac:dyDescent="0.3">
      <c r="A191" s="4">
        <v>215</v>
      </c>
      <c r="B191" s="44" t="s">
        <v>1430</v>
      </c>
      <c r="C191" s="53">
        <v>32.718000000000004</v>
      </c>
      <c r="D191" s="53">
        <v>-115.715</v>
      </c>
      <c r="E191" s="4" t="s">
        <v>380</v>
      </c>
      <c r="F191" s="46" t="s">
        <v>1431</v>
      </c>
      <c r="G191" s="4" t="s">
        <v>145</v>
      </c>
      <c r="H191" s="4" t="s">
        <v>146</v>
      </c>
      <c r="I191" s="4" t="s">
        <v>109</v>
      </c>
      <c r="J191" s="4" t="s">
        <v>109</v>
      </c>
      <c r="K191" s="4" t="s">
        <v>114</v>
      </c>
      <c r="L191" s="4" t="s">
        <v>1432</v>
      </c>
      <c r="M191" s="4" t="s">
        <v>109</v>
      </c>
      <c r="N191" s="4" t="s">
        <v>109</v>
      </c>
      <c r="O191" s="69">
        <v>45595</v>
      </c>
      <c r="Q191" s="72">
        <v>41</v>
      </c>
      <c r="R191" s="4" t="s">
        <v>109</v>
      </c>
      <c r="S191" s="4" t="s">
        <v>1052</v>
      </c>
      <c r="T191" s="4" t="s">
        <v>109</v>
      </c>
      <c r="U191" s="6" t="s">
        <v>116</v>
      </c>
      <c r="V191" s="4" t="s">
        <v>3022</v>
      </c>
      <c r="W191" s="4" t="b">
        <v>0</v>
      </c>
      <c r="X191" s="4" t="s">
        <v>109</v>
      </c>
      <c r="Y191" s="4" t="s">
        <v>3476</v>
      </c>
      <c r="AA191" s="4" t="s">
        <v>118</v>
      </c>
      <c r="AB191" s="53">
        <v>55.48</v>
      </c>
      <c r="AC191" s="4">
        <v>500</v>
      </c>
      <c r="AD191" s="4" t="s">
        <v>1433</v>
      </c>
      <c r="AE191" s="4">
        <v>2.1</v>
      </c>
      <c r="AF191" s="4" t="s">
        <v>3725</v>
      </c>
      <c r="AG191" s="5" t="s">
        <v>3726</v>
      </c>
      <c r="AH191" s="5" t="s">
        <v>3727</v>
      </c>
      <c r="AI191" s="4">
        <v>1</v>
      </c>
      <c r="AJ191" s="4" t="s">
        <v>3728</v>
      </c>
      <c r="AK191" s="4" t="s">
        <v>121</v>
      </c>
      <c r="AL191" s="4" t="s">
        <v>3027</v>
      </c>
      <c r="AM191" s="69" t="s">
        <v>3729</v>
      </c>
      <c r="AN191" s="4" t="s">
        <v>122</v>
      </c>
      <c r="AO191" s="4">
        <v>2018</v>
      </c>
      <c r="AP191" s="217" t="s">
        <v>109</v>
      </c>
      <c r="AQ191" s="4" t="b">
        <v>0</v>
      </c>
      <c r="AR191" s="4" t="s">
        <v>109</v>
      </c>
      <c r="AS191" s="4" t="s">
        <v>109</v>
      </c>
      <c r="AT191" s="4" t="s">
        <v>118</v>
      </c>
      <c r="AU191" s="4" t="b">
        <v>0</v>
      </c>
      <c r="AV191" s="4" t="s">
        <v>109</v>
      </c>
      <c r="AW191" s="4" t="s">
        <v>118</v>
      </c>
      <c r="AY191" s="4" t="s">
        <v>109</v>
      </c>
      <c r="AZ191" s="4" t="s">
        <v>109</v>
      </c>
      <c r="BA191" s="4" t="s">
        <v>118</v>
      </c>
      <c r="BB191" s="4" t="s">
        <v>118</v>
      </c>
      <c r="BC191" s="4" t="s">
        <v>135</v>
      </c>
      <c r="BD191" s="4" t="s">
        <v>109</v>
      </c>
      <c r="BE191" s="4" t="s">
        <v>109</v>
      </c>
      <c r="BF191" s="4" t="s">
        <v>109</v>
      </c>
      <c r="BG191" s="4" t="s">
        <v>126</v>
      </c>
      <c r="BH191" s="4" t="s">
        <v>109</v>
      </c>
      <c r="BI191" s="69">
        <v>43389</v>
      </c>
      <c r="BJ191" s="69">
        <v>43644</v>
      </c>
      <c r="BK191" s="69">
        <v>43596</v>
      </c>
      <c r="BL191" s="97" t="s">
        <v>109</v>
      </c>
      <c r="BM191" s="4" t="s">
        <v>109</v>
      </c>
      <c r="BN191" s="4" t="b">
        <v>1</v>
      </c>
      <c r="BO191" s="130">
        <v>16986</v>
      </c>
      <c r="BP191" s="4" t="s">
        <v>128</v>
      </c>
      <c r="CF191" s="4" t="s">
        <v>3730</v>
      </c>
      <c r="CS191" s="143"/>
      <c r="CU191" s="216" t="s">
        <v>3028</v>
      </c>
      <c r="CW191" s="4" t="s">
        <v>3149</v>
      </c>
      <c r="CX191" s="39"/>
    </row>
    <row r="192" spans="1:102" x14ac:dyDescent="0.3">
      <c r="A192" s="2">
        <v>216</v>
      </c>
      <c r="B192" s="43" t="s">
        <v>1439</v>
      </c>
      <c r="C192" s="51">
        <v>33.203887999999999</v>
      </c>
      <c r="D192" s="51">
        <v>-117.384366</v>
      </c>
      <c r="E192" s="2" t="s">
        <v>1440</v>
      </c>
      <c r="F192" s="47" t="s">
        <v>1441</v>
      </c>
      <c r="G192" s="2" t="s">
        <v>886</v>
      </c>
      <c r="H192" s="2" t="s">
        <v>146</v>
      </c>
      <c r="I192" s="2" t="s">
        <v>109</v>
      </c>
      <c r="J192" s="2" t="s">
        <v>109</v>
      </c>
      <c r="K192" s="2" t="s">
        <v>114</v>
      </c>
      <c r="L192" s="2" t="s">
        <v>251</v>
      </c>
      <c r="M192" s="2" t="s">
        <v>109</v>
      </c>
      <c r="N192" s="2" t="s">
        <v>109</v>
      </c>
      <c r="O192" s="68">
        <v>45498</v>
      </c>
      <c r="Q192" s="2">
        <v>27</v>
      </c>
      <c r="R192" s="2" t="s">
        <v>109</v>
      </c>
      <c r="S192" s="2" t="s">
        <v>109</v>
      </c>
      <c r="T192" s="2" t="s">
        <v>109</v>
      </c>
      <c r="U192" s="2" t="s">
        <v>116</v>
      </c>
      <c r="V192" s="2" t="s">
        <v>3022</v>
      </c>
      <c r="W192" s="2" t="b">
        <v>0</v>
      </c>
      <c r="X192" s="2" t="s">
        <v>109</v>
      </c>
      <c r="Y192" s="2" t="s">
        <v>1355</v>
      </c>
      <c r="AA192" s="51">
        <v>1.053445</v>
      </c>
      <c r="AB192" s="2" t="s">
        <v>118</v>
      </c>
      <c r="AC192" s="2">
        <v>69</v>
      </c>
      <c r="AD192" s="2" t="s">
        <v>109</v>
      </c>
      <c r="AE192" s="2">
        <v>4.0999999999999996</v>
      </c>
      <c r="AF192" s="2" t="s">
        <v>3731</v>
      </c>
      <c r="AG192" s="3" t="s">
        <v>3732</v>
      </c>
      <c r="AH192" s="3" t="s">
        <v>3733</v>
      </c>
      <c r="AI192" s="2">
        <v>1</v>
      </c>
      <c r="AJ192" s="2" t="s">
        <v>3734</v>
      </c>
      <c r="AK192" s="2" t="s">
        <v>121</v>
      </c>
      <c r="AL192" s="2" t="s">
        <v>3027</v>
      </c>
      <c r="AM192" s="68" t="s">
        <v>3735</v>
      </c>
      <c r="AN192" s="2" t="s">
        <v>122</v>
      </c>
      <c r="AO192" s="2">
        <v>2017</v>
      </c>
      <c r="AP192" s="109" t="s">
        <v>118</v>
      </c>
      <c r="AQ192" s="2" t="b">
        <v>0</v>
      </c>
      <c r="AR192" s="2" t="s">
        <v>118</v>
      </c>
      <c r="AS192" s="2" t="s">
        <v>118</v>
      </c>
      <c r="AT192" s="2" t="s">
        <v>118</v>
      </c>
      <c r="AU192" s="2" t="b">
        <v>0</v>
      </c>
      <c r="AV192" s="2" t="s">
        <v>123</v>
      </c>
      <c r="AW192" s="2" t="s">
        <v>118</v>
      </c>
      <c r="AY192" s="2" t="s">
        <v>109</v>
      </c>
      <c r="AZ192" s="2" t="s">
        <v>109</v>
      </c>
      <c r="BA192" s="2" t="s">
        <v>118</v>
      </c>
      <c r="BB192" s="2" t="s">
        <v>118</v>
      </c>
      <c r="BC192" s="2" t="s">
        <v>123</v>
      </c>
      <c r="BD192" s="2" t="s">
        <v>1444</v>
      </c>
      <c r="BE192" s="2" t="s">
        <v>125</v>
      </c>
      <c r="BF192" s="2">
        <v>2027</v>
      </c>
      <c r="BG192" s="2" t="s">
        <v>397</v>
      </c>
      <c r="BH192" s="2" t="s">
        <v>109</v>
      </c>
      <c r="BI192" s="68" t="s">
        <v>109</v>
      </c>
      <c r="BJ192" s="68">
        <v>47070</v>
      </c>
      <c r="BK192" s="68" t="s">
        <v>109</v>
      </c>
      <c r="BL192" s="98" t="s">
        <v>109</v>
      </c>
      <c r="BM192" s="2" t="s">
        <v>109</v>
      </c>
      <c r="BN192" s="98" t="b">
        <v>0</v>
      </c>
      <c r="BO192" s="85">
        <v>905.76099999999997</v>
      </c>
      <c r="BP192" s="2" t="s">
        <v>128</v>
      </c>
      <c r="CF192" s="2" t="s">
        <v>109</v>
      </c>
      <c r="CS192" s="142"/>
      <c r="CU192" s="132" t="s">
        <v>3187</v>
      </c>
      <c r="CW192" s="2" t="s">
        <v>3331</v>
      </c>
      <c r="CX192" s="38"/>
    </row>
    <row r="193" spans="1:102" ht="26.4" x14ac:dyDescent="0.3">
      <c r="A193" s="4">
        <v>217</v>
      </c>
      <c r="B193" s="44" t="s">
        <v>1446</v>
      </c>
      <c r="C193" s="53">
        <v>32.650329999999997</v>
      </c>
      <c r="D193" s="53">
        <v>-117.02634999999999</v>
      </c>
      <c r="E193" s="4" t="s">
        <v>177</v>
      </c>
      <c r="F193" s="46" t="s">
        <v>1447</v>
      </c>
      <c r="G193" s="4" t="s">
        <v>886</v>
      </c>
      <c r="H193" s="4" t="s">
        <v>146</v>
      </c>
      <c r="I193" s="4" t="s">
        <v>109</v>
      </c>
      <c r="J193" s="4" t="s">
        <v>109</v>
      </c>
      <c r="K193" s="4" t="s">
        <v>114</v>
      </c>
      <c r="L193" s="4" t="s">
        <v>251</v>
      </c>
      <c r="M193" s="4" t="s">
        <v>109</v>
      </c>
      <c r="N193" s="4" t="s">
        <v>109</v>
      </c>
      <c r="O193" s="69">
        <v>45344</v>
      </c>
      <c r="Q193" s="4">
        <v>27</v>
      </c>
      <c r="R193" s="4" t="s">
        <v>109</v>
      </c>
      <c r="S193" s="4" t="s">
        <v>109</v>
      </c>
      <c r="T193" s="4" t="s">
        <v>109</v>
      </c>
      <c r="U193" s="4" t="s">
        <v>116</v>
      </c>
      <c r="V193" s="4" t="s">
        <v>3022</v>
      </c>
      <c r="W193" s="4" t="b">
        <v>0</v>
      </c>
      <c r="X193" s="4" t="s">
        <v>109</v>
      </c>
      <c r="Y193" s="4" t="s">
        <v>1355</v>
      </c>
      <c r="AA193" s="53">
        <v>0.63688100000000003</v>
      </c>
      <c r="AB193" s="4" t="s">
        <v>118</v>
      </c>
      <c r="AC193" s="4">
        <v>69</v>
      </c>
      <c r="AD193" s="4" t="s">
        <v>109</v>
      </c>
      <c r="AE193" s="4">
        <v>4.0999999999999996</v>
      </c>
      <c r="AF193" s="4" t="s">
        <v>3736</v>
      </c>
      <c r="AG193" s="5" t="s">
        <v>3737</v>
      </c>
      <c r="AH193" s="5" t="s">
        <v>3738</v>
      </c>
      <c r="AI193" s="4">
        <v>1</v>
      </c>
      <c r="AJ193" s="4" t="s">
        <v>3739</v>
      </c>
      <c r="AK193" s="4" t="s">
        <v>121</v>
      </c>
      <c r="AL193" s="4" t="s">
        <v>3027</v>
      </c>
      <c r="AM193" s="69" t="s">
        <v>3740</v>
      </c>
      <c r="AN193" s="4" t="s">
        <v>122</v>
      </c>
      <c r="AO193" s="4">
        <v>2018</v>
      </c>
      <c r="AP193" s="217" t="s">
        <v>118</v>
      </c>
      <c r="AQ193" s="4" t="b">
        <v>0</v>
      </c>
      <c r="AR193" s="4" t="s">
        <v>118</v>
      </c>
      <c r="AS193" s="4" t="s">
        <v>118</v>
      </c>
      <c r="AT193" s="4" t="s">
        <v>118</v>
      </c>
      <c r="AU193" s="4" t="b">
        <v>0</v>
      </c>
      <c r="AV193" s="4" t="s">
        <v>123</v>
      </c>
      <c r="AW193" s="4" t="s">
        <v>118</v>
      </c>
      <c r="AY193" s="4" t="s">
        <v>109</v>
      </c>
      <c r="AZ193" s="4" t="s">
        <v>109</v>
      </c>
      <c r="BA193" s="4" t="s">
        <v>118</v>
      </c>
      <c r="BB193" s="4" t="s">
        <v>118</v>
      </c>
      <c r="BC193" s="4" t="s">
        <v>123</v>
      </c>
      <c r="BD193" s="4" t="s">
        <v>109</v>
      </c>
      <c r="BE193" s="4" t="s">
        <v>125</v>
      </c>
      <c r="BF193" s="4">
        <v>2027</v>
      </c>
      <c r="BG193" s="4" t="s">
        <v>397</v>
      </c>
      <c r="BH193" s="4" t="s">
        <v>109</v>
      </c>
      <c r="BI193" s="69" t="s">
        <v>1411</v>
      </c>
      <c r="BJ193" s="69">
        <v>44287</v>
      </c>
      <c r="BK193" s="69" t="s">
        <v>625</v>
      </c>
      <c r="BL193" s="97" t="s">
        <v>240</v>
      </c>
      <c r="BM193" s="4" t="s">
        <v>109</v>
      </c>
      <c r="BN193" s="97" t="b">
        <v>0</v>
      </c>
      <c r="BO193" s="130">
        <v>359.99999000000003</v>
      </c>
      <c r="BP193" s="4" t="s">
        <v>128</v>
      </c>
      <c r="CF193" s="4" t="s">
        <v>109</v>
      </c>
      <c r="CS193" s="143" t="s">
        <v>1450</v>
      </c>
      <c r="CU193" s="216" t="s">
        <v>3187</v>
      </c>
      <c r="CW193" s="4" t="s">
        <v>3741</v>
      </c>
      <c r="CX193" s="39"/>
    </row>
    <row r="194" spans="1:102" x14ac:dyDescent="0.3">
      <c r="A194" s="2">
        <v>218</v>
      </c>
      <c r="B194" s="43" t="s">
        <v>1451</v>
      </c>
      <c r="C194" s="51">
        <v>33.383288</v>
      </c>
      <c r="D194" s="51">
        <v>-117.236498</v>
      </c>
      <c r="E194" s="2" t="s">
        <v>1043</v>
      </c>
      <c r="F194" s="47" t="s">
        <v>1452</v>
      </c>
      <c r="G194" s="2" t="s">
        <v>811</v>
      </c>
      <c r="H194" s="2" t="s">
        <v>146</v>
      </c>
      <c r="I194" s="2" t="s">
        <v>109</v>
      </c>
      <c r="J194" s="2" t="s">
        <v>109</v>
      </c>
      <c r="K194" s="2" t="s">
        <v>114</v>
      </c>
      <c r="L194" s="2" t="s">
        <v>1453</v>
      </c>
      <c r="M194" s="2" t="s">
        <v>109</v>
      </c>
      <c r="N194" s="2" t="s">
        <v>109</v>
      </c>
      <c r="O194" s="68">
        <v>45344</v>
      </c>
      <c r="Q194" s="2">
        <v>27</v>
      </c>
      <c r="R194" s="2" t="s">
        <v>109</v>
      </c>
      <c r="S194" s="2" t="s">
        <v>109</v>
      </c>
      <c r="T194" s="2" t="s">
        <v>109</v>
      </c>
      <c r="U194" s="2" t="s">
        <v>404</v>
      </c>
      <c r="V194" s="2" t="s">
        <v>3022</v>
      </c>
      <c r="W194" s="2" t="b">
        <v>0</v>
      </c>
      <c r="X194" s="2" t="s">
        <v>109</v>
      </c>
      <c r="Y194" s="2" t="s">
        <v>808</v>
      </c>
      <c r="AA194" s="51">
        <v>0.23905899999999999</v>
      </c>
      <c r="AB194" s="2" t="s">
        <v>118</v>
      </c>
      <c r="AC194" s="2">
        <v>69</v>
      </c>
      <c r="AD194" s="2" t="s">
        <v>109</v>
      </c>
      <c r="AE194" s="2">
        <v>4.0999999999999996</v>
      </c>
      <c r="AF194" s="2" t="s">
        <v>3742</v>
      </c>
      <c r="AG194" s="3" t="s">
        <v>3743</v>
      </c>
      <c r="AH194" s="3" t="s">
        <v>3744</v>
      </c>
      <c r="AI194" s="2">
        <v>1</v>
      </c>
      <c r="AJ194" s="2" t="s">
        <v>3745</v>
      </c>
      <c r="AK194" s="2" t="s">
        <v>121</v>
      </c>
      <c r="AL194" s="2" t="s">
        <v>3027</v>
      </c>
      <c r="AM194" s="68">
        <v>43497</v>
      </c>
      <c r="AN194" s="2" t="s">
        <v>122</v>
      </c>
      <c r="AO194" s="2">
        <v>2017</v>
      </c>
      <c r="AP194" s="109" t="s">
        <v>109</v>
      </c>
      <c r="AQ194" s="2" t="b">
        <v>0</v>
      </c>
      <c r="AR194" s="2" t="s">
        <v>109</v>
      </c>
      <c r="AS194" s="2" t="s">
        <v>109</v>
      </c>
      <c r="AT194" s="2" t="s">
        <v>118</v>
      </c>
      <c r="AU194" s="2" t="b">
        <v>0</v>
      </c>
      <c r="AV194" s="2" t="s">
        <v>109</v>
      </c>
      <c r="AW194" s="2" t="s">
        <v>118</v>
      </c>
      <c r="AY194" s="2" t="s">
        <v>124</v>
      </c>
      <c r="AZ194" s="2" t="s">
        <v>109</v>
      </c>
      <c r="BA194" s="2" t="s">
        <v>118</v>
      </c>
      <c r="BB194" s="2" t="s">
        <v>118</v>
      </c>
      <c r="BC194" s="2" t="s">
        <v>135</v>
      </c>
      <c r="BD194" s="2" t="s">
        <v>109</v>
      </c>
      <c r="BE194" s="2" t="s">
        <v>109</v>
      </c>
      <c r="BF194" s="2" t="s">
        <v>109</v>
      </c>
      <c r="BG194" s="2" t="s">
        <v>126</v>
      </c>
      <c r="BH194" s="2" t="s">
        <v>109</v>
      </c>
      <c r="BI194" s="68">
        <v>43791</v>
      </c>
      <c r="BJ194" s="68">
        <v>43952</v>
      </c>
      <c r="BK194" s="68">
        <v>43952</v>
      </c>
      <c r="BL194" s="98" t="s">
        <v>109</v>
      </c>
      <c r="BM194" s="2" t="s">
        <v>109</v>
      </c>
      <c r="BN194" s="98" t="b">
        <v>0</v>
      </c>
      <c r="BO194" s="85">
        <v>326.65879999999999</v>
      </c>
      <c r="BP194" s="2" t="s">
        <v>128</v>
      </c>
      <c r="CF194" s="2" t="s">
        <v>157</v>
      </c>
      <c r="CS194" s="142"/>
      <c r="CU194" s="132" t="s">
        <v>3187</v>
      </c>
      <c r="CW194" s="2" t="s">
        <v>3509</v>
      </c>
      <c r="CX194" s="38"/>
    </row>
    <row r="195" spans="1:102" x14ac:dyDescent="0.3">
      <c r="A195" s="4">
        <v>220</v>
      </c>
      <c r="B195" s="44" t="s">
        <v>1458</v>
      </c>
      <c r="C195" s="53">
        <v>33.197060999999998</v>
      </c>
      <c r="D195" s="53">
        <v>-117.382278</v>
      </c>
      <c r="E195" s="4" t="s">
        <v>483</v>
      </c>
      <c r="F195" s="46" t="s">
        <v>1459</v>
      </c>
      <c r="G195" s="4" t="s">
        <v>886</v>
      </c>
      <c r="H195" s="4" t="s">
        <v>146</v>
      </c>
      <c r="I195" s="4" t="s">
        <v>109</v>
      </c>
      <c r="J195" s="4" t="s">
        <v>109</v>
      </c>
      <c r="K195" s="4" t="s">
        <v>114</v>
      </c>
      <c r="L195" s="4" t="s">
        <v>251</v>
      </c>
      <c r="M195" s="4" t="s">
        <v>109</v>
      </c>
      <c r="N195" s="4" t="s">
        <v>109</v>
      </c>
      <c r="O195" s="69">
        <v>45498</v>
      </c>
      <c r="Q195" s="4">
        <v>27</v>
      </c>
      <c r="R195" s="4" t="s">
        <v>109</v>
      </c>
      <c r="S195" s="4" t="s">
        <v>109</v>
      </c>
      <c r="T195" s="4" t="s">
        <v>109</v>
      </c>
      <c r="U195" s="4" t="s">
        <v>116</v>
      </c>
      <c r="V195" s="4" t="s">
        <v>3022</v>
      </c>
      <c r="W195" s="4" t="b">
        <v>0</v>
      </c>
      <c r="X195" s="4" t="s">
        <v>109</v>
      </c>
      <c r="Y195" s="4" t="s">
        <v>1355</v>
      </c>
      <c r="AA195" s="53">
        <v>6.5770999999999996E-2</v>
      </c>
      <c r="AB195" s="4" t="s">
        <v>118</v>
      </c>
      <c r="AC195" s="4">
        <v>69</v>
      </c>
      <c r="AD195" s="4" t="s">
        <v>109</v>
      </c>
      <c r="AE195" s="4">
        <v>4.0999999999999996</v>
      </c>
      <c r="AF195" s="4" t="s">
        <v>3746</v>
      </c>
      <c r="AG195" s="5" t="s">
        <v>3747</v>
      </c>
      <c r="AH195" s="5" t="s">
        <v>3748</v>
      </c>
      <c r="AI195" s="4">
        <v>1</v>
      </c>
      <c r="AJ195" s="4" t="s">
        <v>3749</v>
      </c>
      <c r="AK195" s="4" t="s">
        <v>121</v>
      </c>
      <c r="AL195" s="4" t="s">
        <v>3027</v>
      </c>
      <c r="AM195" s="69" t="s">
        <v>3750</v>
      </c>
      <c r="AN195" s="4" t="s">
        <v>122</v>
      </c>
      <c r="AO195" s="4">
        <v>2017</v>
      </c>
      <c r="AP195" s="217" t="s">
        <v>118</v>
      </c>
      <c r="AQ195" s="4" t="b">
        <v>0</v>
      </c>
      <c r="AR195" s="4" t="s">
        <v>118</v>
      </c>
      <c r="AS195" s="4" t="s">
        <v>118</v>
      </c>
      <c r="AT195" s="4" t="s">
        <v>118</v>
      </c>
      <c r="AU195" s="4" t="b">
        <v>0</v>
      </c>
      <c r="AV195" s="4" t="s">
        <v>123</v>
      </c>
      <c r="AW195" s="4" t="s">
        <v>118</v>
      </c>
      <c r="AY195" s="4" t="s">
        <v>109</v>
      </c>
      <c r="AZ195" s="4" t="s">
        <v>109</v>
      </c>
      <c r="BA195" s="4" t="s">
        <v>118</v>
      </c>
      <c r="BB195" s="4" t="s">
        <v>118</v>
      </c>
      <c r="BC195" s="4" t="s">
        <v>123</v>
      </c>
      <c r="BD195" s="4" t="s">
        <v>1462</v>
      </c>
      <c r="BE195" s="4" t="s">
        <v>125</v>
      </c>
      <c r="BF195" s="4">
        <v>2027</v>
      </c>
      <c r="BG195" s="4" t="s">
        <v>397</v>
      </c>
      <c r="BH195" s="4" t="s">
        <v>109</v>
      </c>
      <c r="BI195" s="69" t="s">
        <v>109</v>
      </c>
      <c r="BJ195" s="69">
        <v>46752</v>
      </c>
      <c r="BK195" s="69" t="s">
        <v>109</v>
      </c>
      <c r="BL195" s="97" t="s">
        <v>109</v>
      </c>
      <c r="BM195" s="4" t="s">
        <v>109</v>
      </c>
      <c r="BN195" s="97" t="b">
        <v>0</v>
      </c>
      <c r="BO195" s="130">
        <v>1500.4159999999999</v>
      </c>
      <c r="BP195" s="4" t="s">
        <v>128</v>
      </c>
      <c r="CF195" s="4" t="s">
        <v>109</v>
      </c>
      <c r="CS195" s="148"/>
      <c r="CU195" s="216" t="s">
        <v>3187</v>
      </c>
      <c r="CW195" s="4" t="s">
        <v>3241</v>
      </c>
      <c r="CX195" s="39"/>
    </row>
    <row r="196" spans="1:102" ht="27" x14ac:dyDescent="0.3">
      <c r="A196" s="2">
        <v>221</v>
      </c>
      <c r="B196" s="43" t="s">
        <v>1464</v>
      </c>
      <c r="C196" s="51">
        <v>32.935291999999997</v>
      </c>
      <c r="D196" s="51">
        <v>-117.23897100000001</v>
      </c>
      <c r="E196" s="2" t="s">
        <v>329</v>
      </c>
      <c r="F196" s="47" t="s">
        <v>1447</v>
      </c>
      <c r="G196" s="2" t="s">
        <v>886</v>
      </c>
      <c r="H196" s="2" t="s">
        <v>146</v>
      </c>
      <c r="I196" s="2" t="s">
        <v>109</v>
      </c>
      <c r="J196" s="2" t="s">
        <v>109</v>
      </c>
      <c r="K196" s="2" t="s">
        <v>114</v>
      </c>
      <c r="L196" s="2" t="s">
        <v>251</v>
      </c>
      <c r="M196" s="2" t="s">
        <v>109</v>
      </c>
      <c r="N196" s="2" t="s">
        <v>109</v>
      </c>
      <c r="O196" s="68">
        <v>45428.5</v>
      </c>
      <c r="Q196" s="2">
        <v>27</v>
      </c>
      <c r="R196" s="2" t="s">
        <v>109</v>
      </c>
      <c r="S196" s="2" t="s">
        <v>109</v>
      </c>
      <c r="T196" s="2" t="s">
        <v>109</v>
      </c>
      <c r="U196" s="2" t="s">
        <v>116</v>
      </c>
      <c r="V196" s="2" t="s">
        <v>3022</v>
      </c>
      <c r="W196" s="2" t="b">
        <v>0</v>
      </c>
      <c r="X196" s="2" t="s">
        <v>109</v>
      </c>
      <c r="Y196" s="2" t="s">
        <v>1355</v>
      </c>
      <c r="AA196" s="51">
        <v>4.0087489999999999</v>
      </c>
      <c r="AB196" s="2" t="s">
        <v>118</v>
      </c>
      <c r="AC196" s="2">
        <v>69</v>
      </c>
      <c r="AD196" s="2" t="s">
        <v>109</v>
      </c>
      <c r="AE196" s="2">
        <v>4.0999999999999996</v>
      </c>
      <c r="AF196" s="2" t="s">
        <v>3751</v>
      </c>
      <c r="AG196" s="3" t="s">
        <v>3752</v>
      </c>
      <c r="AH196" s="3" t="s">
        <v>3753</v>
      </c>
      <c r="AI196" s="2">
        <v>1</v>
      </c>
      <c r="AJ196" s="2" t="s">
        <v>3754</v>
      </c>
      <c r="AK196" s="2" t="s">
        <v>121</v>
      </c>
      <c r="AL196" s="2" t="s">
        <v>3027</v>
      </c>
      <c r="AM196" s="68" t="s">
        <v>3755</v>
      </c>
      <c r="AN196" s="2" t="s">
        <v>122</v>
      </c>
      <c r="AO196" s="2">
        <v>2018</v>
      </c>
      <c r="AP196" s="109" t="s">
        <v>109</v>
      </c>
      <c r="AQ196" s="2" t="b">
        <v>0</v>
      </c>
      <c r="AR196" s="2" t="s">
        <v>118</v>
      </c>
      <c r="AS196" s="2" t="s">
        <v>118</v>
      </c>
      <c r="AT196" s="2" t="s">
        <v>118</v>
      </c>
      <c r="AU196" s="2" t="b">
        <v>0</v>
      </c>
      <c r="AV196" s="2" t="s">
        <v>123</v>
      </c>
      <c r="AW196" s="2" t="s">
        <v>118</v>
      </c>
      <c r="AY196" s="2" t="s">
        <v>109</v>
      </c>
      <c r="AZ196" s="2" t="s">
        <v>109</v>
      </c>
      <c r="BA196" s="2" t="s">
        <v>118</v>
      </c>
      <c r="BB196" s="2" t="s">
        <v>118</v>
      </c>
      <c r="BC196" s="2" t="s">
        <v>123</v>
      </c>
      <c r="BD196" s="2" t="s">
        <v>478</v>
      </c>
      <c r="BE196" s="2" t="s">
        <v>125</v>
      </c>
      <c r="BF196" s="2">
        <v>2025</v>
      </c>
      <c r="BG196" s="2" t="s">
        <v>397</v>
      </c>
      <c r="BH196" s="2" t="s">
        <v>109</v>
      </c>
      <c r="BI196" s="68">
        <v>46696</v>
      </c>
      <c r="BJ196" s="68">
        <v>44196</v>
      </c>
      <c r="BK196" s="68">
        <v>46778</v>
      </c>
      <c r="BL196" s="98" t="s">
        <v>240</v>
      </c>
      <c r="BM196" s="2" t="s">
        <v>109</v>
      </c>
      <c r="BN196" s="98" t="b">
        <v>0</v>
      </c>
      <c r="BO196" s="85">
        <v>15490.906000000001</v>
      </c>
      <c r="BP196" s="2" t="s">
        <v>128</v>
      </c>
      <c r="CF196" s="2" t="s">
        <v>109</v>
      </c>
      <c r="CS196" s="220" t="s">
        <v>1450</v>
      </c>
      <c r="CU196" s="132" t="s">
        <v>3187</v>
      </c>
      <c r="CW196" s="2" t="s">
        <v>3756</v>
      </c>
      <c r="CX196" s="38"/>
    </row>
    <row r="197" spans="1:102" x14ac:dyDescent="0.3">
      <c r="A197" s="4">
        <v>222</v>
      </c>
      <c r="B197" s="44" t="s">
        <v>1468</v>
      </c>
      <c r="C197" s="53">
        <v>32.850123000000004</v>
      </c>
      <c r="D197" s="53">
        <v>-117.256388</v>
      </c>
      <c r="E197" s="4" t="s">
        <v>329</v>
      </c>
      <c r="F197" s="46" t="s">
        <v>1469</v>
      </c>
      <c r="G197" s="4" t="s">
        <v>886</v>
      </c>
      <c r="H197" s="4" t="s">
        <v>113</v>
      </c>
      <c r="I197" s="4" t="s">
        <v>109</v>
      </c>
      <c r="J197" s="4" t="s">
        <v>109</v>
      </c>
      <c r="K197" s="4" t="s">
        <v>114</v>
      </c>
      <c r="L197" s="4" t="s">
        <v>251</v>
      </c>
      <c r="M197" s="4" t="s">
        <v>109</v>
      </c>
      <c r="N197" s="4" t="s">
        <v>109</v>
      </c>
      <c r="O197" s="69" t="s">
        <v>109</v>
      </c>
      <c r="Q197" s="4">
        <v>27</v>
      </c>
      <c r="R197" s="4" t="s">
        <v>109</v>
      </c>
      <c r="S197" s="4" t="s">
        <v>109</v>
      </c>
      <c r="T197" s="4" t="s">
        <v>109</v>
      </c>
      <c r="U197" s="4" t="s">
        <v>116</v>
      </c>
      <c r="V197" s="4" t="s">
        <v>3022</v>
      </c>
      <c r="W197" s="4" t="b">
        <v>0</v>
      </c>
      <c r="X197" s="4" t="s">
        <v>109</v>
      </c>
      <c r="Y197" s="4" t="s">
        <v>820</v>
      </c>
      <c r="AA197" s="53">
        <v>3.128295</v>
      </c>
      <c r="AB197" s="4" t="s">
        <v>118</v>
      </c>
      <c r="AC197" s="4">
        <v>69</v>
      </c>
      <c r="AD197" s="4" t="s">
        <v>109</v>
      </c>
      <c r="AE197" s="4">
        <v>4.0999999999999996</v>
      </c>
      <c r="AF197" s="4" t="s">
        <v>3757</v>
      </c>
      <c r="AG197" s="5" t="s">
        <v>3758</v>
      </c>
      <c r="AH197" s="5" t="s">
        <v>3759</v>
      </c>
      <c r="AI197" s="4">
        <v>1</v>
      </c>
      <c r="AJ197" s="4" t="s">
        <v>3760</v>
      </c>
      <c r="AK197" s="4" t="s">
        <v>121</v>
      </c>
      <c r="AL197" s="4" t="s">
        <v>3027</v>
      </c>
      <c r="AM197" s="69" t="s">
        <v>3761</v>
      </c>
      <c r="AN197" s="4" t="s">
        <v>122</v>
      </c>
      <c r="AO197" s="4">
        <v>2018</v>
      </c>
      <c r="AP197" s="217" t="s">
        <v>109</v>
      </c>
      <c r="AQ197" s="4" t="b">
        <v>0</v>
      </c>
      <c r="AR197" s="4" t="s">
        <v>109</v>
      </c>
      <c r="AS197" s="4" t="s">
        <v>109</v>
      </c>
      <c r="AT197" s="4" t="s">
        <v>118</v>
      </c>
      <c r="AU197" s="4" t="b">
        <v>0</v>
      </c>
      <c r="AV197" s="4" t="s">
        <v>109</v>
      </c>
      <c r="AW197" s="4" t="s">
        <v>118</v>
      </c>
      <c r="AY197" s="4" t="s">
        <v>109</v>
      </c>
      <c r="AZ197" s="4" t="s">
        <v>109</v>
      </c>
      <c r="BA197" s="4" t="s">
        <v>109</v>
      </c>
      <c r="BB197" s="4" t="s">
        <v>109</v>
      </c>
      <c r="BC197" s="4" t="s">
        <v>135</v>
      </c>
      <c r="BD197" s="4" t="s">
        <v>109</v>
      </c>
      <c r="BE197" s="4" t="s">
        <v>109</v>
      </c>
      <c r="BF197" s="4" t="s">
        <v>109</v>
      </c>
      <c r="BG197" s="4" t="s">
        <v>126</v>
      </c>
      <c r="BH197" s="4" t="s">
        <v>109</v>
      </c>
      <c r="BI197" s="69">
        <v>44403</v>
      </c>
      <c r="BJ197" s="69">
        <v>45107</v>
      </c>
      <c r="BK197" s="69">
        <v>45107</v>
      </c>
      <c r="BL197" s="97" t="s">
        <v>699</v>
      </c>
      <c r="BM197" s="4" t="s">
        <v>893</v>
      </c>
      <c r="BN197" s="4" t="b">
        <v>1</v>
      </c>
      <c r="BO197" s="130">
        <v>2600</v>
      </c>
      <c r="BP197" s="4" t="s">
        <v>128</v>
      </c>
      <c r="CF197" s="4" t="s">
        <v>528</v>
      </c>
      <c r="CS197" s="143"/>
      <c r="CU197" s="216" t="s">
        <v>3187</v>
      </c>
      <c r="CW197" s="4" t="s">
        <v>3762</v>
      </c>
      <c r="CX197" s="39"/>
    </row>
    <row r="198" spans="1:102" x14ac:dyDescent="0.3">
      <c r="A198" s="2">
        <v>227</v>
      </c>
      <c r="B198" s="43" t="s">
        <v>1474</v>
      </c>
      <c r="C198" s="51">
        <v>32.850123000000004</v>
      </c>
      <c r="D198" s="51">
        <v>-117.256388</v>
      </c>
      <c r="E198" s="2" t="s">
        <v>329</v>
      </c>
      <c r="F198" s="47" t="s">
        <v>1475</v>
      </c>
      <c r="G198" s="2" t="s">
        <v>111</v>
      </c>
      <c r="H198" s="2" t="s">
        <v>113</v>
      </c>
      <c r="I198" s="2" t="s">
        <v>109</v>
      </c>
      <c r="J198" s="2" t="s">
        <v>109</v>
      </c>
      <c r="K198" s="2" t="s">
        <v>114</v>
      </c>
      <c r="L198" s="2" t="s">
        <v>115</v>
      </c>
      <c r="M198" s="2" t="s">
        <v>109</v>
      </c>
      <c r="N198" s="2" t="s">
        <v>109</v>
      </c>
      <c r="O198" s="68">
        <v>45580</v>
      </c>
      <c r="Q198" s="77" t="s">
        <v>1476</v>
      </c>
      <c r="R198" s="2" t="s">
        <v>109</v>
      </c>
      <c r="S198" s="2" t="s">
        <v>725</v>
      </c>
      <c r="T198" s="2" t="s">
        <v>109</v>
      </c>
      <c r="U198" s="2" t="s">
        <v>116</v>
      </c>
      <c r="V198" s="2" t="s">
        <v>3022</v>
      </c>
      <c r="W198" s="2" t="b">
        <v>0</v>
      </c>
      <c r="X198" s="2" t="s">
        <v>109</v>
      </c>
      <c r="Y198" s="2" t="s">
        <v>3124</v>
      </c>
      <c r="AA198" s="51">
        <v>3.128295</v>
      </c>
      <c r="AB198" s="51">
        <v>1.7191909999999999</v>
      </c>
      <c r="AC198" s="2">
        <v>69</v>
      </c>
      <c r="AD198" s="2" t="s">
        <v>1477</v>
      </c>
      <c r="AE198" s="2">
        <v>2.1</v>
      </c>
      <c r="AF198" s="2" t="s">
        <v>3763</v>
      </c>
      <c r="AG198" s="3" t="s">
        <v>3764</v>
      </c>
      <c r="AH198" s="3" t="s">
        <v>3765</v>
      </c>
      <c r="AI198" s="2">
        <v>1</v>
      </c>
      <c r="AJ198" s="2" t="s">
        <v>3766</v>
      </c>
      <c r="AK198" s="2" t="s">
        <v>121</v>
      </c>
      <c r="AL198" s="2" t="s">
        <v>3027</v>
      </c>
      <c r="AM198" s="68">
        <v>43819</v>
      </c>
      <c r="AN198" s="2" t="s">
        <v>122</v>
      </c>
      <c r="AO198" s="2">
        <v>2017</v>
      </c>
      <c r="AP198" s="109" t="s">
        <v>109</v>
      </c>
      <c r="AQ198" s="2" t="b">
        <v>0</v>
      </c>
      <c r="AR198" s="2" t="s">
        <v>109</v>
      </c>
      <c r="AS198" s="2" t="s">
        <v>109</v>
      </c>
      <c r="AT198" s="2" t="s">
        <v>118</v>
      </c>
      <c r="AU198" s="2" t="b">
        <v>0</v>
      </c>
      <c r="AV198" s="2" t="s">
        <v>109</v>
      </c>
      <c r="AW198" s="2" t="s">
        <v>118</v>
      </c>
      <c r="AY198" s="2" t="s">
        <v>109</v>
      </c>
      <c r="AZ198" s="2" t="s">
        <v>109</v>
      </c>
      <c r="BA198" s="2" t="s">
        <v>118</v>
      </c>
      <c r="BB198" s="2" t="s">
        <v>118</v>
      </c>
      <c r="BC198" s="2" t="s">
        <v>135</v>
      </c>
      <c r="BD198" s="2" t="s">
        <v>109</v>
      </c>
      <c r="BE198" s="2" t="s">
        <v>109</v>
      </c>
      <c r="BF198" s="2" t="s">
        <v>109</v>
      </c>
      <c r="BG198" s="2" t="s">
        <v>126</v>
      </c>
      <c r="BH198" s="2" t="s">
        <v>109</v>
      </c>
      <c r="BI198" s="68">
        <v>43360</v>
      </c>
      <c r="BJ198" s="68">
        <v>44483</v>
      </c>
      <c r="BK198" s="68">
        <v>44151</v>
      </c>
      <c r="BL198" s="98" t="s">
        <v>109</v>
      </c>
      <c r="BM198" s="2" t="s">
        <v>109</v>
      </c>
      <c r="BN198" s="2" t="b">
        <v>1</v>
      </c>
      <c r="BO198" s="85">
        <v>2020.0000199999999</v>
      </c>
      <c r="BP198" s="2" t="s">
        <v>128</v>
      </c>
      <c r="CF198" s="2" t="s">
        <v>683</v>
      </c>
      <c r="CS198" s="142"/>
      <c r="CU198" s="132" t="s">
        <v>3028</v>
      </c>
      <c r="CW198" s="2" t="s">
        <v>3767</v>
      </c>
      <c r="CX198" s="38"/>
    </row>
    <row r="199" spans="1:102" x14ac:dyDescent="0.3">
      <c r="A199" s="4">
        <v>229</v>
      </c>
      <c r="B199" s="44" t="s">
        <v>1483</v>
      </c>
      <c r="C199" s="53">
        <v>33.210977</v>
      </c>
      <c r="D199" s="53">
        <v>-117.333583</v>
      </c>
      <c r="E199" s="4" t="s">
        <v>483</v>
      </c>
      <c r="F199" s="46" t="s">
        <v>3768</v>
      </c>
      <c r="G199" s="4" t="s">
        <v>811</v>
      </c>
      <c r="H199" s="4" t="s">
        <v>146</v>
      </c>
      <c r="I199" s="4" t="s">
        <v>109</v>
      </c>
      <c r="J199" s="4" t="s">
        <v>109</v>
      </c>
      <c r="K199" s="4" t="s">
        <v>114</v>
      </c>
      <c r="L199" s="4" t="s">
        <v>1453</v>
      </c>
      <c r="M199" s="4" t="s">
        <v>109</v>
      </c>
      <c r="N199" s="4" t="s">
        <v>109</v>
      </c>
      <c r="O199" s="69">
        <v>45332</v>
      </c>
      <c r="Q199" s="4">
        <v>27</v>
      </c>
      <c r="R199" s="4" t="s">
        <v>109</v>
      </c>
      <c r="S199" s="4" t="s">
        <v>109</v>
      </c>
      <c r="T199" s="4" t="s">
        <v>109</v>
      </c>
      <c r="U199" s="4" t="s">
        <v>116</v>
      </c>
      <c r="V199" s="4" t="s">
        <v>3022</v>
      </c>
      <c r="W199" s="4" t="b">
        <v>0</v>
      </c>
      <c r="X199" s="4" t="s">
        <v>109</v>
      </c>
      <c r="Y199" s="4" t="s">
        <v>808</v>
      </c>
      <c r="AA199" s="53">
        <v>0.15745500000000001</v>
      </c>
      <c r="AB199" s="4" t="s">
        <v>118</v>
      </c>
      <c r="AC199" s="4">
        <v>69</v>
      </c>
      <c r="AD199" s="4" t="s">
        <v>109</v>
      </c>
      <c r="AE199" s="4">
        <v>4.0999999999999996</v>
      </c>
      <c r="AF199" s="4" t="s">
        <v>3769</v>
      </c>
      <c r="AG199" s="5" t="s">
        <v>3770</v>
      </c>
      <c r="AH199" s="5" t="s">
        <v>3771</v>
      </c>
      <c r="AI199" s="4">
        <v>1</v>
      </c>
      <c r="AJ199" s="4" t="s">
        <v>3772</v>
      </c>
      <c r="AK199" s="4" t="s">
        <v>121</v>
      </c>
      <c r="AL199" s="4" t="s">
        <v>3027</v>
      </c>
      <c r="AM199" s="69">
        <v>44117</v>
      </c>
      <c r="AN199" s="4" t="s">
        <v>122</v>
      </c>
      <c r="AO199" s="4">
        <v>2018</v>
      </c>
      <c r="AP199" s="217" t="s">
        <v>109</v>
      </c>
      <c r="AQ199" s="4" t="b">
        <v>0</v>
      </c>
      <c r="AR199" s="4" t="s">
        <v>109</v>
      </c>
      <c r="AS199" s="4" t="s">
        <v>109</v>
      </c>
      <c r="AT199" s="4" t="s">
        <v>118</v>
      </c>
      <c r="AU199" s="4" t="b">
        <v>0</v>
      </c>
      <c r="AV199" s="4" t="s">
        <v>109</v>
      </c>
      <c r="AW199" s="4" t="s">
        <v>118</v>
      </c>
      <c r="AY199" s="4" t="s">
        <v>124</v>
      </c>
      <c r="AZ199" s="4" t="s">
        <v>109</v>
      </c>
      <c r="BA199" s="4" t="s">
        <v>118</v>
      </c>
      <c r="BB199" s="4" t="s">
        <v>118</v>
      </c>
      <c r="BC199" s="4" t="s">
        <v>135</v>
      </c>
      <c r="BD199" s="4" t="s">
        <v>109</v>
      </c>
      <c r="BE199" s="4" t="s">
        <v>109</v>
      </c>
      <c r="BF199" s="4" t="s">
        <v>109</v>
      </c>
      <c r="BG199" s="4" t="s">
        <v>126</v>
      </c>
      <c r="BH199" s="4" t="s">
        <v>109</v>
      </c>
      <c r="BI199" s="69">
        <v>43791</v>
      </c>
      <c r="BJ199" s="69">
        <v>44151</v>
      </c>
      <c r="BK199" s="69">
        <v>44151</v>
      </c>
      <c r="BL199" s="97" t="s">
        <v>109</v>
      </c>
      <c r="BM199" s="4" t="s">
        <v>109</v>
      </c>
      <c r="BN199" s="97" t="b">
        <v>0</v>
      </c>
      <c r="BO199" s="130">
        <v>1947.8320000000001</v>
      </c>
      <c r="BP199" s="4" t="s">
        <v>128</v>
      </c>
      <c r="CF199" s="4" t="s">
        <v>807</v>
      </c>
      <c r="CS199" s="143"/>
      <c r="CU199" s="216" t="s">
        <v>3187</v>
      </c>
      <c r="CW199" s="4" t="s">
        <v>3338</v>
      </c>
      <c r="CX199" s="40"/>
    </row>
    <row r="200" spans="1:102" x14ac:dyDescent="0.3">
      <c r="A200" s="2">
        <v>230</v>
      </c>
      <c r="B200" s="43" t="s">
        <v>1487</v>
      </c>
      <c r="C200" s="51">
        <v>33.128777999999997</v>
      </c>
      <c r="D200" s="51">
        <v>-117.196921</v>
      </c>
      <c r="E200" s="2" t="s">
        <v>1253</v>
      </c>
      <c r="F200" s="47" t="s">
        <v>3773</v>
      </c>
      <c r="G200" s="2" t="s">
        <v>111</v>
      </c>
      <c r="H200" s="2" t="s">
        <v>113</v>
      </c>
      <c r="I200" s="2" t="s">
        <v>109</v>
      </c>
      <c r="J200" s="2" t="s">
        <v>109</v>
      </c>
      <c r="K200" s="2" t="s">
        <v>114</v>
      </c>
      <c r="L200" s="2" t="s">
        <v>251</v>
      </c>
      <c r="M200" s="2" t="s">
        <v>109</v>
      </c>
      <c r="N200" s="2" t="s">
        <v>109</v>
      </c>
      <c r="O200" s="68">
        <v>45582</v>
      </c>
      <c r="Q200" s="2" t="s">
        <v>1489</v>
      </c>
      <c r="R200" s="2" t="s">
        <v>109</v>
      </c>
      <c r="S200" s="2" t="s">
        <v>725</v>
      </c>
      <c r="T200" s="2" t="s">
        <v>109</v>
      </c>
      <c r="U200" s="2" t="s">
        <v>116</v>
      </c>
      <c r="V200" s="2" t="s">
        <v>3022</v>
      </c>
      <c r="W200" s="2" t="b">
        <v>1</v>
      </c>
      <c r="X200" s="2" t="s">
        <v>109</v>
      </c>
      <c r="Y200" s="2" t="s">
        <v>3040</v>
      </c>
      <c r="AA200" s="2" t="s">
        <v>118</v>
      </c>
      <c r="AB200" s="51">
        <v>1.591493</v>
      </c>
      <c r="AC200" s="2">
        <v>69</v>
      </c>
      <c r="AD200" s="2" t="s">
        <v>1477</v>
      </c>
      <c r="AE200" s="2">
        <v>4.0999999999999996</v>
      </c>
      <c r="AF200" s="2" t="s">
        <v>3774</v>
      </c>
      <c r="AG200" s="3" t="s">
        <v>3775</v>
      </c>
      <c r="AH200" s="3" t="s">
        <v>3776</v>
      </c>
      <c r="AI200" s="2">
        <v>1</v>
      </c>
      <c r="AJ200" s="2" t="s">
        <v>3777</v>
      </c>
      <c r="AK200" s="2" t="s">
        <v>121</v>
      </c>
      <c r="AL200" s="2" t="s">
        <v>3027</v>
      </c>
      <c r="AM200" s="68">
        <v>43503</v>
      </c>
      <c r="AN200" s="2" t="s">
        <v>122</v>
      </c>
      <c r="AO200" s="2">
        <v>2018</v>
      </c>
      <c r="AP200" s="109" t="s">
        <v>109</v>
      </c>
      <c r="AQ200" s="2" t="b">
        <v>0</v>
      </c>
      <c r="AR200" s="2" t="s">
        <v>109</v>
      </c>
      <c r="AS200" s="2" t="s">
        <v>109</v>
      </c>
      <c r="AT200" s="2" t="s">
        <v>118</v>
      </c>
      <c r="AU200" s="2" t="b">
        <v>0</v>
      </c>
      <c r="AV200" s="2" t="s">
        <v>109</v>
      </c>
      <c r="AW200" s="2" t="s">
        <v>118</v>
      </c>
      <c r="AY200" s="2" t="s">
        <v>109</v>
      </c>
      <c r="AZ200" s="2" t="s">
        <v>109</v>
      </c>
      <c r="BA200" s="2" t="s">
        <v>118</v>
      </c>
      <c r="BB200" s="2" t="s">
        <v>118</v>
      </c>
      <c r="BC200" s="2" t="s">
        <v>135</v>
      </c>
      <c r="BD200" s="2" t="s">
        <v>109</v>
      </c>
      <c r="BE200" s="2" t="s">
        <v>109</v>
      </c>
      <c r="BF200" s="2" t="s">
        <v>109</v>
      </c>
      <c r="BG200" s="2" t="s">
        <v>980</v>
      </c>
      <c r="BH200" s="2" t="s">
        <v>109</v>
      </c>
      <c r="BI200" s="68" t="s">
        <v>109</v>
      </c>
      <c r="BJ200" s="68">
        <v>46295</v>
      </c>
      <c r="BK200" s="68" t="s">
        <v>109</v>
      </c>
      <c r="BL200" s="98" t="s">
        <v>109</v>
      </c>
      <c r="BM200" s="2" t="s">
        <v>109</v>
      </c>
      <c r="BN200" s="98" t="b">
        <v>0</v>
      </c>
      <c r="BO200" s="85">
        <v>800</v>
      </c>
      <c r="BP200" s="2" t="s">
        <v>128</v>
      </c>
      <c r="CF200" s="2" t="s">
        <v>109</v>
      </c>
      <c r="CS200" s="142"/>
      <c r="CU200" s="132" t="s">
        <v>3028</v>
      </c>
      <c r="CW200" s="2" t="s">
        <v>3630</v>
      </c>
      <c r="CX200" s="38"/>
    </row>
    <row r="201" spans="1:102" ht="40.200000000000003" x14ac:dyDescent="0.3">
      <c r="A201" s="4">
        <v>231</v>
      </c>
      <c r="B201" s="44" t="s">
        <v>1494</v>
      </c>
      <c r="C201" s="4">
        <v>-117.232</v>
      </c>
      <c r="D201" s="4">
        <v>32.9</v>
      </c>
      <c r="E201" s="4" t="s">
        <v>410</v>
      </c>
      <c r="F201" s="46" t="s">
        <v>3778</v>
      </c>
      <c r="G201" s="64" t="s">
        <v>186</v>
      </c>
      <c r="H201" s="64" t="s">
        <v>113</v>
      </c>
      <c r="I201" s="64" t="s">
        <v>109</v>
      </c>
      <c r="J201" s="64" t="s">
        <v>109</v>
      </c>
      <c r="K201" s="64" t="s">
        <v>1728</v>
      </c>
      <c r="L201" s="64" t="s">
        <v>2909</v>
      </c>
      <c r="M201" s="64" t="s">
        <v>109</v>
      </c>
      <c r="N201" s="64" t="s">
        <v>109</v>
      </c>
      <c r="O201" s="66">
        <v>45416</v>
      </c>
      <c r="Q201" s="6" t="s">
        <v>3779</v>
      </c>
      <c r="R201" s="64" t="s">
        <v>109</v>
      </c>
      <c r="S201" s="64" t="s">
        <v>109</v>
      </c>
      <c r="T201" s="64" t="s">
        <v>109</v>
      </c>
      <c r="U201" s="4" t="s">
        <v>116</v>
      </c>
      <c r="V201" s="4" t="s">
        <v>3022</v>
      </c>
      <c r="W201" s="4" t="b">
        <v>0</v>
      </c>
      <c r="X201" s="4" t="s">
        <v>109</v>
      </c>
      <c r="Y201" s="4" t="s">
        <v>1493</v>
      </c>
      <c r="AA201" s="4">
        <v>2</v>
      </c>
      <c r="AB201" s="4" t="s">
        <v>109</v>
      </c>
      <c r="AC201" s="4" t="s">
        <v>1390</v>
      </c>
      <c r="AD201" s="4" t="s">
        <v>109</v>
      </c>
      <c r="AE201" s="4">
        <v>4</v>
      </c>
      <c r="AF201" s="4" t="s">
        <v>3780</v>
      </c>
      <c r="AG201" s="5" t="s">
        <v>3781</v>
      </c>
      <c r="AH201" s="5" t="s">
        <v>3782</v>
      </c>
      <c r="AI201" s="4">
        <v>1</v>
      </c>
      <c r="AJ201" s="4" t="s">
        <v>3783</v>
      </c>
      <c r="AK201" s="4" t="s">
        <v>121</v>
      </c>
      <c r="AL201" s="4" t="s">
        <v>3027</v>
      </c>
      <c r="AM201" s="69" t="s">
        <v>3784</v>
      </c>
      <c r="AN201" s="4" t="s">
        <v>122</v>
      </c>
      <c r="AO201" s="4">
        <v>2024</v>
      </c>
      <c r="AP201" s="217" t="s">
        <v>109</v>
      </c>
      <c r="AQ201" s="4" t="b">
        <v>0</v>
      </c>
      <c r="AR201" s="4" t="s">
        <v>109</v>
      </c>
      <c r="AS201" s="4" t="s">
        <v>109</v>
      </c>
      <c r="AT201" s="4" t="s">
        <v>109</v>
      </c>
      <c r="AU201" s="4" t="b">
        <v>0</v>
      </c>
      <c r="AV201" s="4" t="s">
        <v>123</v>
      </c>
      <c r="AW201" s="4" t="s">
        <v>118</v>
      </c>
      <c r="AY201" s="4" t="s">
        <v>109</v>
      </c>
      <c r="AZ201" s="4" t="s">
        <v>109</v>
      </c>
      <c r="BA201" s="4" t="s">
        <v>226</v>
      </c>
      <c r="BB201" s="4" t="s">
        <v>118</v>
      </c>
      <c r="BC201" s="4" t="s">
        <v>135</v>
      </c>
      <c r="BD201" s="4" t="s">
        <v>109</v>
      </c>
      <c r="BE201" s="4" t="s">
        <v>2892</v>
      </c>
      <c r="BF201" s="4" t="s">
        <v>109</v>
      </c>
      <c r="BG201" s="4" t="s">
        <v>296</v>
      </c>
      <c r="BH201" s="4" t="s">
        <v>109</v>
      </c>
      <c r="BI201" s="69">
        <v>46450</v>
      </c>
      <c r="BJ201" s="69">
        <v>44561</v>
      </c>
      <c r="BK201" s="69">
        <v>46660</v>
      </c>
      <c r="BL201" s="97" t="s">
        <v>109</v>
      </c>
      <c r="BM201" s="4" t="s">
        <v>109</v>
      </c>
      <c r="BN201" s="4" t="b">
        <v>1</v>
      </c>
      <c r="BO201" s="130">
        <v>6808.1790000000001</v>
      </c>
      <c r="BP201" s="4" t="s">
        <v>128</v>
      </c>
      <c r="CF201" s="6" t="s">
        <v>196</v>
      </c>
      <c r="CS201" s="148" t="s">
        <v>3785</v>
      </c>
      <c r="CU201" s="216" t="s">
        <v>3187</v>
      </c>
      <c r="CW201" s="4" t="s">
        <v>3786</v>
      </c>
      <c r="CX201" s="220" t="s">
        <v>3787</v>
      </c>
    </row>
    <row r="202" spans="1:102" x14ac:dyDescent="0.3">
      <c r="A202" s="2">
        <v>232</v>
      </c>
      <c r="B202" s="43" t="s">
        <v>1501</v>
      </c>
      <c r="C202" s="51">
        <v>33.125509999999998</v>
      </c>
      <c r="D202" s="51">
        <v>-117.116894</v>
      </c>
      <c r="E202" s="2" t="s">
        <v>1502</v>
      </c>
      <c r="F202" s="47" t="s">
        <v>1503</v>
      </c>
      <c r="G202" s="2" t="s">
        <v>111</v>
      </c>
      <c r="H202" s="2" t="s">
        <v>146</v>
      </c>
      <c r="I202" s="2" t="s">
        <v>113</v>
      </c>
      <c r="J202" s="2" t="s">
        <v>109</v>
      </c>
      <c r="K202" s="2" t="s">
        <v>114</v>
      </c>
      <c r="L202" s="2" t="s">
        <v>115</v>
      </c>
      <c r="M202" s="2" t="s">
        <v>109</v>
      </c>
      <c r="N202" s="2" t="s">
        <v>109</v>
      </c>
      <c r="O202" s="68">
        <v>45572</v>
      </c>
      <c r="Q202" s="2" t="s">
        <v>1504</v>
      </c>
      <c r="R202" s="2" t="s">
        <v>109</v>
      </c>
      <c r="S202" s="2" t="s">
        <v>109</v>
      </c>
      <c r="T202" s="2" t="s">
        <v>109</v>
      </c>
      <c r="U202" s="2" t="s">
        <v>116</v>
      </c>
      <c r="V202" s="2" t="s">
        <v>3022</v>
      </c>
      <c r="W202" s="2" t="b">
        <v>0</v>
      </c>
      <c r="X202" s="2" t="s">
        <v>109</v>
      </c>
      <c r="Y202" s="2" t="s">
        <v>481</v>
      </c>
      <c r="AA202" s="2" t="s">
        <v>118</v>
      </c>
      <c r="AB202" s="51">
        <v>4.6631099999999996</v>
      </c>
      <c r="AC202" s="2">
        <v>230</v>
      </c>
      <c r="AD202" s="2" t="s">
        <v>201</v>
      </c>
      <c r="AE202" s="2">
        <v>4.0999999999999996</v>
      </c>
      <c r="AF202" s="2" t="s">
        <v>3788</v>
      </c>
      <c r="AG202" s="3" t="s">
        <v>3789</v>
      </c>
      <c r="AH202" s="3" t="s">
        <v>3790</v>
      </c>
      <c r="AI202" s="2">
        <v>1</v>
      </c>
      <c r="AJ202" s="2" t="s">
        <v>3791</v>
      </c>
      <c r="AK202" s="2" t="s">
        <v>121</v>
      </c>
      <c r="AL202" s="2" t="s">
        <v>3027</v>
      </c>
      <c r="AM202" s="68">
        <v>43497</v>
      </c>
      <c r="AN202" s="2" t="s">
        <v>122</v>
      </c>
      <c r="AO202" s="2">
        <v>2018</v>
      </c>
      <c r="AP202" s="109" t="s">
        <v>109</v>
      </c>
      <c r="AQ202" s="2" t="b">
        <v>0</v>
      </c>
      <c r="AR202" s="2" t="s">
        <v>109</v>
      </c>
      <c r="AS202" s="2" t="s">
        <v>109</v>
      </c>
      <c r="AT202" s="2" t="s">
        <v>118</v>
      </c>
      <c r="AU202" s="2" t="b">
        <v>0</v>
      </c>
      <c r="AV202" s="2" t="s">
        <v>109</v>
      </c>
      <c r="AW202" s="2" t="s">
        <v>118</v>
      </c>
      <c r="AY202" s="2" t="s">
        <v>124</v>
      </c>
      <c r="AZ202" s="2" t="s">
        <v>109</v>
      </c>
      <c r="BA202" s="2" t="s">
        <v>109</v>
      </c>
      <c r="BB202" s="2" t="s">
        <v>118</v>
      </c>
      <c r="BC202" s="2" t="s">
        <v>123</v>
      </c>
      <c r="BD202" s="2" t="s">
        <v>109</v>
      </c>
      <c r="BE202" s="2" t="s">
        <v>2892</v>
      </c>
      <c r="BF202" s="2" t="s">
        <v>109</v>
      </c>
      <c r="BG202" s="2" t="s">
        <v>296</v>
      </c>
      <c r="BH202" s="2" t="s">
        <v>109</v>
      </c>
      <c r="BI202" s="68" t="s">
        <v>123</v>
      </c>
      <c r="BJ202" s="68">
        <v>44926</v>
      </c>
      <c r="BK202" s="68" t="s">
        <v>123</v>
      </c>
      <c r="BL202" s="98" t="s">
        <v>109</v>
      </c>
      <c r="BM202" s="2" t="s">
        <v>109</v>
      </c>
      <c r="BN202" s="98" t="b">
        <v>0</v>
      </c>
      <c r="BO202" s="85">
        <v>982</v>
      </c>
      <c r="BP202" s="2" t="s">
        <v>128</v>
      </c>
      <c r="CF202" s="2" t="s">
        <v>109</v>
      </c>
      <c r="CS202" s="142" t="s">
        <v>1006</v>
      </c>
      <c r="CU202" s="132" t="s">
        <v>3028</v>
      </c>
      <c r="CW202" s="2" t="s">
        <v>3194</v>
      </c>
      <c r="CX202" s="38"/>
    </row>
    <row r="203" spans="1:102" ht="26.4" x14ac:dyDescent="0.3">
      <c r="A203" s="4">
        <v>234</v>
      </c>
      <c r="B203" s="44" t="s">
        <v>1508</v>
      </c>
      <c r="C203" s="53">
        <v>32.784249000000003</v>
      </c>
      <c r="D203" s="53">
        <v>-117.137552</v>
      </c>
      <c r="E203" s="4" t="s">
        <v>329</v>
      </c>
      <c r="F203" s="46" t="s">
        <v>3792</v>
      </c>
      <c r="G203" s="4" t="s">
        <v>111</v>
      </c>
      <c r="H203" s="4" t="s">
        <v>146</v>
      </c>
      <c r="I203" s="4" t="s">
        <v>113</v>
      </c>
      <c r="J203" s="4" t="s">
        <v>109</v>
      </c>
      <c r="K203" s="4" t="s">
        <v>114</v>
      </c>
      <c r="L203" s="4" t="s">
        <v>115</v>
      </c>
      <c r="M203" s="4" t="s">
        <v>109</v>
      </c>
      <c r="N203" s="4" t="s">
        <v>109</v>
      </c>
      <c r="O203" s="69">
        <v>45595</v>
      </c>
      <c r="Q203" s="4">
        <v>51</v>
      </c>
      <c r="R203" s="4" t="s">
        <v>109</v>
      </c>
      <c r="S203" s="4" t="s">
        <v>109</v>
      </c>
      <c r="T203" s="4" t="s">
        <v>109</v>
      </c>
      <c r="U203" s="4" t="s">
        <v>116</v>
      </c>
      <c r="V203" s="4" t="s">
        <v>3022</v>
      </c>
      <c r="W203" s="4" t="b">
        <v>0</v>
      </c>
      <c r="X203" s="4" t="s">
        <v>487</v>
      </c>
      <c r="Y203" s="4" t="s">
        <v>1032</v>
      </c>
      <c r="AA203" s="4" t="s">
        <v>118</v>
      </c>
      <c r="AB203" s="53">
        <v>8.9966640000000009</v>
      </c>
      <c r="AC203" s="4">
        <v>69</v>
      </c>
      <c r="AD203" s="4" t="s">
        <v>373</v>
      </c>
      <c r="AE203" s="4">
        <v>4.0999999999999996</v>
      </c>
      <c r="AF203" s="4" t="s">
        <v>3793</v>
      </c>
      <c r="AG203" s="5" t="s">
        <v>3794</v>
      </c>
      <c r="AH203" s="5" t="s">
        <v>3795</v>
      </c>
      <c r="AI203" s="4">
        <v>1</v>
      </c>
      <c r="AJ203" s="4" t="s">
        <v>3796</v>
      </c>
      <c r="AK203" s="4" t="s">
        <v>121</v>
      </c>
      <c r="AL203" s="4" t="s">
        <v>3027</v>
      </c>
      <c r="AM203" s="69" t="s">
        <v>3797</v>
      </c>
      <c r="AN203" s="4" t="s">
        <v>122</v>
      </c>
      <c r="AO203" s="4">
        <v>2018</v>
      </c>
      <c r="AP203" s="217" t="s">
        <v>109</v>
      </c>
      <c r="AQ203" s="4" t="b">
        <v>0</v>
      </c>
      <c r="AR203" s="4" t="s">
        <v>109</v>
      </c>
      <c r="AS203" s="4" t="s">
        <v>109</v>
      </c>
      <c r="AT203" s="4" t="s">
        <v>118</v>
      </c>
      <c r="AU203" s="4" t="b">
        <v>0</v>
      </c>
      <c r="AV203" s="4" t="s">
        <v>109</v>
      </c>
      <c r="AW203" s="4" t="s">
        <v>118</v>
      </c>
      <c r="AY203" s="4" t="s">
        <v>124</v>
      </c>
      <c r="AZ203" s="4" t="s">
        <v>109</v>
      </c>
      <c r="BA203" s="4" t="s">
        <v>118</v>
      </c>
      <c r="BB203" s="4" t="s">
        <v>118</v>
      </c>
      <c r="BC203" s="4" t="s">
        <v>135</v>
      </c>
      <c r="BD203" s="4" t="s">
        <v>109</v>
      </c>
      <c r="BE203" s="4" t="s">
        <v>109</v>
      </c>
      <c r="BF203" s="4" t="s">
        <v>109</v>
      </c>
      <c r="BG203" s="4" t="s">
        <v>546</v>
      </c>
      <c r="BH203" s="4" t="s">
        <v>109</v>
      </c>
      <c r="BI203" s="69">
        <v>44900</v>
      </c>
      <c r="BJ203" s="69">
        <v>45992</v>
      </c>
      <c r="BK203" s="69">
        <v>46094</v>
      </c>
      <c r="BL203" s="97" t="s">
        <v>246</v>
      </c>
      <c r="BM203" s="4" t="s">
        <v>109</v>
      </c>
      <c r="BN203" s="6" t="b">
        <v>1</v>
      </c>
      <c r="BO203" s="130">
        <v>97625.009640000004</v>
      </c>
      <c r="BP203" s="4" t="s">
        <v>128</v>
      </c>
      <c r="CF203" s="4" t="s">
        <v>1515</v>
      </c>
      <c r="CS203" s="144" t="s">
        <v>1516</v>
      </c>
      <c r="CU203" s="216" t="s">
        <v>3028</v>
      </c>
      <c r="CW203" s="4" t="s">
        <v>3183</v>
      </c>
      <c r="CX203" s="39"/>
    </row>
    <row r="204" spans="1:102" x14ac:dyDescent="0.3">
      <c r="A204" s="2">
        <v>237</v>
      </c>
      <c r="B204" s="43" t="s">
        <v>1517</v>
      </c>
      <c r="C204" s="51">
        <v>33.196812000000001</v>
      </c>
      <c r="D204" s="51">
        <v>-117.381834</v>
      </c>
      <c r="E204" s="2" t="s">
        <v>483</v>
      </c>
      <c r="F204" s="47" t="s">
        <v>1518</v>
      </c>
      <c r="G204" s="2" t="s">
        <v>111</v>
      </c>
      <c r="H204" s="2" t="s">
        <v>113</v>
      </c>
      <c r="I204" s="2" t="s">
        <v>109</v>
      </c>
      <c r="J204" s="2" t="s">
        <v>109</v>
      </c>
      <c r="K204" s="2" t="s">
        <v>114</v>
      </c>
      <c r="L204" s="2" t="s">
        <v>115</v>
      </c>
      <c r="M204" s="2" t="s">
        <v>109</v>
      </c>
      <c r="N204" s="2" t="s">
        <v>109</v>
      </c>
      <c r="O204" s="68">
        <v>45576</v>
      </c>
      <c r="Q204" s="2" t="s">
        <v>1519</v>
      </c>
      <c r="R204" s="2" t="s">
        <v>109</v>
      </c>
      <c r="S204" s="2" t="s">
        <v>342</v>
      </c>
      <c r="T204" s="2" t="s">
        <v>109</v>
      </c>
      <c r="U204" s="2" t="s">
        <v>116</v>
      </c>
      <c r="V204" s="2" t="s">
        <v>3022</v>
      </c>
      <c r="W204" s="2" t="b">
        <v>0</v>
      </c>
      <c r="X204" s="2" t="s">
        <v>109</v>
      </c>
      <c r="Y204" s="2" t="s">
        <v>107</v>
      </c>
      <c r="AA204" s="2" t="s">
        <v>118</v>
      </c>
      <c r="AB204" s="51">
        <v>0.224386</v>
      </c>
      <c r="AC204" s="2">
        <v>69</v>
      </c>
      <c r="AD204" s="2" t="s">
        <v>373</v>
      </c>
      <c r="AE204" s="2">
        <v>4.0999999999999996</v>
      </c>
      <c r="AF204" s="2" t="s">
        <v>3798</v>
      </c>
      <c r="AG204" s="3" t="s">
        <v>3799</v>
      </c>
      <c r="AH204" s="3" t="s">
        <v>3800</v>
      </c>
      <c r="AI204" s="2">
        <v>1</v>
      </c>
      <c r="AJ204" s="2" t="s">
        <v>3801</v>
      </c>
      <c r="AK204" s="2" t="s">
        <v>121</v>
      </c>
      <c r="AL204" s="2" t="s">
        <v>3027</v>
      </c>
      <c r="AM204" s="68">
        <v>43503</v>
      </c>
      <c r="AN204" s="2" t="s">
        <v>122</v>
      </c>
      <c r="AO204" s="2">
        <v>2018</v>
      </c>
      <c r="AP204" s="109" t="s">
        <v>109</v>
      </c>
      <c r="AQ204" s="2" t="b">
        <v>0</v>
      </c>
      <c r="AR204" s="2" t="s">
        <v>109</v>
      </c>
      <c r="AS204" s="2" t="s">
        <v>109</v>
      </c>
      <c r="AT204" s="2" t="s">
        <v>118</v>
      </c>
      <c r="AU204" s="2" t="b">
        <v>0</v>
      </c>
      <c r="AV204" s="2" t="s">
        <v>109</v>
      </c>
      <c r="AW204" s="2" t="s">
        <v>118</v>
      </c>
      <c r="AY204" s="2" t="s">
        <v>109</v>
      </c>
      <c r="AZ204" s="2" t="s">
        <v>109</v>
      </c>
      <c r="BA204" s="2" t="s">
        <v>118</v>
      </c>
      <c r="BB204" s="2" t="s">
        <v>118</v>
      </c>
      <c r="BC204" s="2" t="s">
        <v>135</v>
      </c>
      <c r="BD204" s="2" t="s">
        <v>109</v>
      </c>
      <c r="BE204" s="2" t="s">
        <v>109</v>
      </c>
      <c r="BF204" s="2" t="s">
        <v>109</v>
      </c>
      <c r="BG204" s="2" t="s">
        <v>126</v>
      </c>
      <c r="BH204" s="2" t="s">
        <v>109</v>
      </c>
      <c r="BI204" s="68">
        <v>44760</v>
      </c>
      <c r="BJ204" s="68">
        <v>44466</v>
      </c>
      <c r="BK204" s="68">
        <v>45264</v>
      </c>
      <c r="BL204" s="98" t="s">
        <v>109</v>
      </c>
      <c r="BM204" s="2" t="s">
        <v>109</v>
      </c>
      <c r="BN204" s="2" t="b">
        <v>1</v>
      </c>
      <c r="BO204" s="85">
        <v>10</v>
      </c>
      <c r="BP204" s="2" t="s">
        <v>128</v>
      </c>
      <c r="CF204" s="2" t="s">
        <v>174</v>
      </c>
      <c r="CS204" s="142"/>
      <c r="CU204" s="132" t="s">
        <v>3028</v>
      </c>
      <c r="CW204" s="2" t="s">
        <v>3802</v>
      </c>
      <c r="CX204" s="41"/>
    </row>
    <row r="205" spans="1:102" ht="52.8" x14ac:dyDescent="0.3">
      <c r="A205" s="4">
        <v>238</v>
      </c>
      <c r="B205" s="44" t="s">
        <v>1525</v>
      </c>
      <c r="C205" s="53">
        <v>32.835903999999999</v>
      </c>
      <c r="D205" s="53">
        <v>-117.187872</v>
      </c>
      <c r="E205" s="4" t="s">
        <v>329</v>
      </c>
      <c r="F205" s="46" t="s">
        <v>1526</v>
      </c>
      <c r="G205" s="4" t="s">
        <v>811</v>
      </c>
      <c r="H205" s="4" t="s">
        <v>146</v>
      </c>
      <c r="I205" s="4" t="s">
        <v>109</v>
      </c>
      <c r="J205" s="4" t="s">
        <v>109</v>
      </c>
      <c r="K205" s="4" t="s">
        <v>2918</v>
      </c>
      <c r="L205" s="4" t="s">
        <v>207</v>
      </c>
      <c r="M205" s="4" t="s">
        <v>109</v>
      </c>
      <c r="N205" s="4" t="s">
        <v>109</v>
      </c>
      <c r="O205" s="4" t="s">
        <v>109</v>
      </c>
      <c r="Q205" s="4">
        <v>54</v>
      </c>
      <c r="R205" s="4" t="s">
        <v>109</v>
      </c>
      <c r="S205" s="4" t="s">
        <v>109</v>
      </c>
      <c r="T205" s="4" t="s">
        <v>109</v>
      </c>
      <c r="U205" s="4" t="s">
        <v>116</v>
      </c>
      <c r="V205" s="4" t="s">
        <v>3022</v>
      </c>
      <c r="W205" s="4" t="b">
        <v>0</v>
      </c>
      <c r="X205" s="4" t="s">
        <v>109</v>
      </c>
      <c r="Y205" s="4" t="s">
        <v>808</v>
      </c>
      <c r="AA205" s="53">
        <v>7.6427999999999996E-2</v>
      </c>
      <c r="AB205" s="4" t="s">
        <v>118</v>
      </c>
      <c r="AC205" s="4" t="s">
        <v>1527</v>
      </c>
      <c r="AD205" s="4" t="s">
        <v>109</v>
      </c>
      <c r="AE205" s="4">
        <v>1.3</v>
      </c>
      <c r="AF205" s="4" t="s">
        <v>3803</v>
      </c>
      <c r="AG205" s="5" t="s">
        <v>3804</v>
      </c>
      <c r="AH205" s="5" t="s">
        <v>3805</v>
      </c>
      <c r="AI205" s="4">
        <v>1</v>
      </c>
      <c r="AJ205" s="4" t="s">
        <v>3806</v>
      </c>
      <c r="AK205" s="4" t="s">
        <v>121</v>
      </c>
      <c r="AL205" s="4" t="s">
        <v>3027</v>
      </c>
      <c r="AM205" s="69">
        <v>43446</v>
      </c>
      <c r="AN205" s="4" t="s">
        <v>122</v>
      </c>
      <c r="AO205" s="4">
        <v>2019</v>
      </c>
      <c r="AP205" s="217" t="s">
        <v>109</v>
      </c>
      <c r="AQ205" s="4" t="b">
        <v>0</v>
      </c>
      <c r="AR205" s="4" t="s">
        <v>109</v>
      </c>
      <c r="AS205" s="4" t="s">
        <v>109</v>
      </c>
      <c r="AT205" s="4" t="s">
        <v>118</v>
      </c>
      <c r="AU205" s="4" t="b">
        <v>0</v>
      </c>
      <c r="AV205" s="4" t="s">
        <v>109</v>
      </c>
      <c r="AW205" s="4" t="s">
        <v>118</v>
      </c>
      <c r="AY205" s="4" t="s">
        <v>124</v>
      </c>
      <c r="AZ205" s="4" t="s">
        <v>109</v>
      </c>
      <c r="BA205" s="4" t="s">
        <v>118</v>
      </c>
      <c r="BB205" s="4" t="s">
        <v>118</v>
      </c>
      <c r="BC205" s="4" t="s">
        <v>135</v>
      </c>
      <c r="BD205" s="4" t="s">
        <v>109</v>
      </c>
      <c r="BE205" s="4" t="s">
        <v>109</v>
      </c>
      <c r="BF205" s="4" t="s">
        <v>109</v>
      </c>
      <c r="BG205" s="4" t="s">
        <v>126</v>
      </c>
      <c r="BH205" s="4" t="s">
        <v>109</v>
      </c>
      <c r="BI205" s="69">
        <v>43969</v>
      </c>
      <c r="BJ205" s="69">
        <v>44529</v>
      </c>
      <c r="BK205" s="69">
        <v>44652</v>
      </c>
      <c r="BL205" s="97" t="s">
        <v>109</v>
      </c>
      <c r="BM205" s="4" t="s">
        <v>109</v>
      </c>
      <c r="BN205" s="97" t="b">
        <v>0</v>
      </c>
      <c r="BO205" s="130">
        <v>2475.8910000000001</v>
      </c>
      <c r="BP205" s="4" t="s">
        <v>128</v>
      </c>
      <c r="CF205" s="4" t="s">
        <v>270</v>
      </c>
      <c r="CS205" s="143" t="s">
        <v>3807</v>
      </c>
      <c r="CU205" s="216" t="s">
        <v>3187</v>
      </c>
      <c r="CW205" s="4" t="s">
        <v>3029</v>
      </c>
      <c r="CX205" s="40"/>
    </row>
    <row r="206" spans="1:102" ht="92.4" x14ac:dyDescent="0.3">
      <c r="A206" s="2">
        <v>239</v>
      </c>
      <c r="B206" s="43" t="s">
        <v>1535</v>
      </c>
      <c r="C206" s="51">
        <v>32.68</v>
      </c>
      <c r="D206" s="51">
        <v>-116.98399999999999</v>
      </c>
      <c r="E206" s="2" t="s">
        <v>191</v>
      </c>
      <c r="F206" s="47" t="s">
        <v>1536</v>
      </c>
      <c r="G206" s="2" t="s">
        <v>111</v>
      </c>
      <c r="H206" s="2" t="s">
        <v>113</v>
      </c>
      <c r="I206" s="2" t="s">
        <v>109</v>
      </c>
      <c r="J206" s="2" t="s">
        <v>109</v>
      </c>
      <c r="K206" s="2" t="s">
        <v>114</v>
      </c>
      <c r="L206" s="2" t="s">
        <v>1537</v>
      </c>
      <c r="M206" s="2" t="s">
        <v>109</v>
      </c>
      <c r="N206" s="2" t="s">
        <v>109</v>
      </c>
      <c r="O206" s="68">
        <v>45587</v>
      </c>
      <c r="Q206" s="2" t="s">
        <v>109</v>
      </c>
      <c r="R206" s="2" t="s">
        <v>109</v>
      </c>
      <c r="S206" s="2" t="s">
        <v>725</v>
      </c>
      <c r="T206" s="2" t="s">
        <v>109</v>
      </c>
      <c r="U206" s="2" t="s">
        <v>404</v>
      </c>
      <c r="V206" s="2" t="s">
        <v>3022</v>
      </c>
      <c r="W206" s="2" t="b">
        <v>0</v>
      </c>
      <c r="X206" s="2" t="s">
        <v>109</v>
      </c>
      <c r="Y206" s="2" t="s">
        <v>3040</v>
      </c>
      <c r="AA206" s="2" t="s">
        <v>118</v>
      </c>
      <c r="AB206" s="51">
        <v>12.37</v>
      </c>
      <c r="AC206" s="2">
        <v>230</v>
      </c>
      <c r="AD206" s="2" t="s">
        <v>1538</v>
      </c>
      <c r="AE206" s="2">
        <v>4.0999999999999996</v>
      </c>
      <c r="AF206" s="2" t="s">
        <v>3808</v>
      </c>
      <c r="AG206" s="3" t="s">
        <v>3809</v>
      </c>
      <c r="AH206" s="3" t="s">
        <v>3810</v>
      </c>
      <c r="AI206" s="2">
        <v>1</v>
      </c>
      <c r="AJ206" s="2" t="s">
        <v>3811</v>
      </c>
      <c r="AK206" s="2" t="s">
        <v>121</v>
      </c>
      <c r="AL206" s="2" t="s">
        <v>3027</v>
      </c>
      <c r="AM206" s="68">
        <v>43853</v>
      </c>
      <c r="AN206" s="2" t="s">
        <v>122</v>
      </c>
      <c r="AO206" s="2">
        <v>2019</v>
      </c>
      <c r="AP206" s="109" t="s">
        <v>109</v>
      </c>
      <c r="AQ206" s="2" t="b">
        <v>0</v>
      </c>
      <c r="AR206" s="2" t="s">
        <v>109</v>
      </c>
      <c r="AS206" s="2" t="s">
        <v>109</v>
      </c>
      <c r="AT206" s="2" t="s">
        <v>118</v>
      </c>
      <c r="AU206" s="2" t="b">
        <v>0</v>
      </c>
      <c r="AV206" s="2" t="s">
        <v>109</v>
      </c>
      <c r="AW206" s="2" t="s">
        <v>118</v>
      </c>
      <c r="AY206" s="2" t="s">
        <v>109</v>
      </c>
      <c r="AZ206" s="2" t="s">
        <v>109</v>
      </c>
      <c r="BA206" s="2" t="s">
        <v>118</v>
      </c>
      <c r="BB206" s="2" t="s">
        <v>118</v>
      </c>
      <c r="BC206" s="2" t="s">
        <v>135</v>
      </c>
      <c r="BD206" s="2" t="s">
        <v>109</v>
      </c>
      <c r="BE206" s="2" t="s">
        <v>109</v>
      </c>
      <c r="BF206" s="2" t="s">
        <v>109</v>
      </c>
      <c r="BG206" s="2" t="s">
        <v>126</v>
      </c>
      <c r="BH206" s="2" t="s">
        <v>109</v>
      </c>
      <c r="BI206" s="68">
        <v>43731</v>
      </c>
      <c r="BJ206" s="68">
        <v>44773</v>
      </c>
      <c r="BK206" s="68">
        <v>44643</v>
      </c>
      <c r="BL206" s="98" t="s">
        <v>240</v>
      </c>
      <c r="BM206" s="2" t="s">
        <v>109</v>
      </c>
      <c r="BN206" s="2" t="b">
        <v>1</v>
      </c>
      <c r="BO206" s="85">
        <v>10503</v>
      </c>
      <c r="BP206" s="2" t="s">
        <v>128</v>
      </c>
      <c r="CF206" s="2" t="s">
        <v>270</v>
      </c>
      <c r="CS206" s="142" t="s">
        <v>1543</v>
      </c>
      <c r="CU206" s="132" t="s">
        <v>3028</v>
      </c>
      <c r="CW206" s="2" t="s">
        <v>3043</v>
      </c>
      <c r="CX206" s="38"/>
    </row>
    <row r="207" spans="1:102" ht="39.6" x14ac:dyDescent="0.3">
      <c r="A207" s="4">
        <v>240</v>
      </c>
      <c r="B207" s="44" t="s">
        <v>1544</v>
      </c>
      <c r="C207" s="53">
        <v>32.783999999999999</v>
      </c>
      <c r="D207" s="53">
        <v>-117.13800000000001</v>
      </c>
      <c r="E207" s="4" t="s">
        <v>329</v>
      </c>
      <c r="F207" s="46" t="s">
        <v>1545</v>
      </c>
      <c r="G207" s="4" t="s">
        <v>111</v>
      </c>
      <c r="H207" s="4" t="s">
        <v>113</v>
      </c>
      <c r="I207" s="4" t="s">
        <v>109</v>
      </c>
      <c r="J207" s="4" t="s">
        <v>109</v>
      </c>
      <c r="K207" s="4" t="s">
        <v>114</v>
      </c>
      <c r="L207" s="4" t="s">
        <v>251</v>
      </c>
      <c r="M207" s="4" t="s">
        <v>109</v>
      </c>
      <c r="N207" s="4" t="s">
        <v>109</v>
      </c>
      <c r="O207" s="69">
        <v>45595</v>
      </c>
      <c r="Q207" s="4" t="s">
        <v>109</v>
      </c>
      <c r="R207" s="4" t="s">
        <v>109</v>
      </c>
      <c r="S207" s="4" t="s">
        <v>725</v>
      </c>
      <c r="T207" s="4" t="s">
        <v>109</v>
      </c>
      <c r="U207" s="4" t="s">
        <v>116</v>
      </c>
      <c r="V207" s="4" t="s">
        <v>3022</v>
      </c>
      <c r="W207" s="4" t="b">
        <v>0</v>
      </c>
      <c r="X207" s="4" t="s">
        <v>109</v>
      </c>
      <c r="Y207" s="4" t="s">
        <v>3812</v>
      </c>
      <c r="AA207" s="4" t="s">
        <v>118</v>
      </c>
      <c r="AB207" s="53">
        <v>9</v>
      </c>
      <c r="AC207" s="4">
        <v>230</v>
      </c>
      <c r="AD207" s="4" t="s">
        <v>201</v>
      </c>
      <c r="AE207" s="4">
        <v>4.0999999999999996</v>
      </c>
      <c r="AF207" s="4" t="s">
        <v>3813</v>
      </c>
      <c r="AG207" s="5" t="s">
        <v>3814</v>
      </c>
      <c r="AH207" s="5" t="s">
        <v>3815</v>
      </c>
      <c r="AI207" s="4">
        <v>1</v>
      </c>
      <c r="AJ207" s="4" t="s">
        <v>3816</v>
      </c>
      <c r="AK207" s="4" t="s">
        <v>121</v>
      </c>
      <c r="AL207" s="4" t="s">
        <v>3027</v>
      </c>
      <c r="AM207" s="69">
        <v>43577</v>
      </c>
      <c r="AN207" s="4" t="s">
        <v>122</v>
      </c>
      <c r="AO207" s="4">
        <v>2019</v>
      </c>
      <c r="AP207" s="217" t="s">
        <v>109</v>
      </c>
      <c r="AQ207" s="4" t="b">
        <v>0</v>
      </c>
      <c r="AR207" s="4" t="s">
        <v>109</v>
      </c>
      <c r="AS207" s="4" t="s">
        <v>109</v>
      </c>
      <c r="AT207" s="4" t="s">
        <v>118</v>
      </c>
      <c r="AU207" s="4" t="b">
        <v>0</v>
      </c>
      <c r="AV207" s="4" t="s">
        <v>109</v>
      </c>
      <c r="AW207" s="4" t="s">
        <v>118</v>
      </c>
      <c r="AY207" s="4" t="s">
        <v>109</v>
      </c>
      <c r="AZ207" s="4" t="s">
        <v>109</v>
      </c>
      <c r="BA207" s="4" t="s">
        <v>118</v>
      </c>
      <c r="BB207" s="4" t="s">
        <v>118</v>
      </c>
      <c r="BC207" s="4" t="s">
        <v>135</v>
      </c>
      <c r="BD207" s="4" t="s">
        <v>109</v>
      </c>
      <c r="BE207" s="4" t="s">
        <v>109</v>
      </c>
      <c r="BF207" s="4" t="s">
        <v>109</v>
      </c>
      <c r="BG207" s="4" t="s">
        <v>126</v>
      </c>
      <c r="BH207" s="4" t="s">
        <v>109</v>
      </c>
      <c r="BI207" s="69">
        <v>43334</v>
      </c>
      <c r="BJ207" s="69">
        <v>44742</v>
      </c>
      <c r="BK207" s="69">
        <v>44309</v>
      </c>
      <c r="BL207" s="97" t="s">
        <v>240</v>
      </c>
      <c r="BM207" s="4" t="s">
        <v>109</v>
      </c>
      <c r="BN207" s="97" t="b">
        <v>0</v>
      </c>
      <c r="BO207" s="130">
        <v>39512</v>
      </c>
      <c r="BP207" s="4" t="s">
        <v>128</v>
      </c>
      <c r="CF207" s="4" t="s">
        <v>157</v>
      </c>
      <c r="CS207" s="143" t="s">
        <v>337</v>
      </c>
      <c r="CU207" s="216" t="s">
        <v>3028</v>
      </c>
      <c r="CW207" s="4" t="s">
        <v>3183</v>
      </c>
      <c r="CX207" s="39"/>
    </row>
    <row r="208" spans="1:102" ht="39.6" x14ac:dyDescent="0.3">
      <c r="A208" s="2">
        <v>241</v>
      </c>
      <c r="B208" s="43" t="s">
        <v>1551</v>
      </c>
      <c r="C208" s="51">
        <v>32.695</v>
      </c>
      <c r="D208" s="51">
        <v>-117.143</v>
      </c>
      <c r="E208" s="2" t="s">
        <v>329</v>
      </c>
      <c r="F208" s="47" t="s">
        <v>1552</v>
      </c>
      <c r="G208" s="2" t="s">
        <v>111</v>
      </c>
      <c r="H208" s="2" t="s">
        <v>112</v>
      </c>
      <c r="I208" s="2" t="s">
        <v>109</v>
      </c>
      <c r="J208" s="2" t="s">
        <v>109</v>
      </c>
      <c r="K208" s="2" t="s">
        <v>485</v>
      </c>
      <c r="L208" s="2" t="s">
        <v>486</v>
      </c>
      <c r="M208" s="2" t="s">
        <v>109</v>
      </c>
      <c r="N208" s="2" t="s">
        <v>109</v>
      </c>
      <c r="O208" s="68" t="s">
        <v>109</v>
      </c>
      <c r="Q208" s="2" t="s">
        <v>109</v>
      </c>
      <c r="R208" s="2" t="s">
        <v>109</v>
      </c>
      <c r="S208" s="2" t="s">
        <v>109</v>
      </c>
      <c r="T208" s="2" t="s">
        <v>109</v>
      </c>
      <c r="U208" s="2" t="s">
        <v>116</v>
      </c>
      <c r="V208" s="2" t="s">
        <v>3022</v>
      </c>
      <c r="W208" s="2" t="b">
        <v>0</v>
      </c>
      <c r="X208" s="2" t="s">
        <v>109</v>
      </c>
      <c r="Y208" s="2" t="s">
        <v>1493</v>
      </c>
      <c r="AA208" s="51">
        <v>8</v>
      </c>
      <c r="AB208" s="51">
        <v>4.5</v>
      </c>
      <c r="AC208" s="2" t="s">
        <v>1390</v>
      </c>
      <c r="AD208" s="2" t="s">
        <v>1554</v>
      </c>
      <c r="AE208" s="2">
        <v>4.2</v>
      </c>
      <c r="AF208" s="2" t="s">
        <v>3817</v>
      </c>
      <c r="AG208" s="3" t="s">
        <v>3818</v>
      </c>
      <c r="AH208" s="3" t="s">
        <v>3819</v>
      </c>
      <c r="AI208" s="2">
        <v>1</v>
      </c>
      <c r="AJ208" s="2" t="s">
        <v>3820</v>
      </c>
      <c r="AK208" s="2" t="s">
        <v>121</v>
      </c>
      <c r="AL208" s="2" t="s">
        <v>3027</v>
      </c>
      <c r="AM208" s="68">
        <v>43195</v>
      </c>
      <c r="AN208" s="2" t="s">
        <v>122</v>
      </c>
      <c r="AO208" s="2">
        <v>2019</v>
      </c>
      <c r="AP208" s="109" t="s">
        <v>109</v>
      </c>
      <c r="AQ208" s="2" t="b">
        <v>0</v>
      </c>
      <c r="AR208" s="2" t="s">
        <v>109</v>
      </c>
      <c r="AS208" s="2" t="s">
        <v>109</v>
      </c>
      <c r="AT208" s="2" t="s">
        <v>118</v>
      </c>
      <c r="AU208" s="2" t="b">
        <v>0</v>
      </c>
      <c r="AV208" s="2" t="s">
        <v>1039</v>
      </c>
      <c r="AW208" s="2" t="s">
        <v>118</v>
      </c>
      <c r="AY208" s="2" t="s">
        <v>109</v>
      </c>
      <c r="AZ208" s="2" t="s">
        <v>109</v>
      </c>
      <c r="BA208" s="2" t="s">
        <v>118</v>
      </c>
      <c r="BB208" s="2" t="s">
        <v>118</v>
      </c>
      <c r="BC208" s="2" t="s">
        <v>123</v>
      </c>
      <c r="BD208" s="2" t="s">
        <v>109</v>
      </c>
      <c r="BE208" s="2" t="s">
        <v>109</v>
      </c>
      <c r="BF208" s="2" t="s">
        <v>109</v>
      </c>
      <c r="BG208" s="2" t="s">
        <v>296</v>
      </c>
      <c r="BH208" s="2" t="s">
        <v>109</v>
      </c>
      <c r="BI208" s="68">
        <v>47673</v>
      </c>
      <c r="BJ208" s="68">
        <v>48213</v>
      </c>
      <c r="BK208" s="68">
        <v>48256</v>
      </c>
      <c r="BL208" s="98" t="s">
        <v>893</v>
      </c>
      <c r="BM208" s="2" t="s">
        <v>109</v>
      </c>
      <c r="BN208" s="2" t="b">
        <v>1</v>
      </c>
      <c r="BO208" s="85">
        <v>501</v>
      </c>
      <c r="BP208" s="2" t="s">
        <v>128</v>
      </c>
      <c r="CF208" s="2" t="s">
        <v>528</v>
      </c>
      <c r="CS208" s="142" t="s">
        <v>3821</v>
      </c>
      <c r="CU208" s="132" t="s">
        <v>3060</v>
      </c>
      <c r="CW208" s="2" t="s">
        <v>3822</v>
      </c>
      <c r="CX208" s="41"/>
    </row>
    <row r="209" spans="1:102" ht="52.8" x14ac:dyDescent="0.3">
      <c r="A209" s="4">
        <v>242</v>
      </c>
      <c r="B209" s="48" t="s">
        <v>1561</v>
      </c>
      <c r="C209" s="57" t="s">
        <v>109</v>
      </c>
      <c r="D209" s="4" t="s">
        <v>109</v>
      </c>
      <c r="E209" s="6" t="s">
        <v>109</v>
      </c>
      <c r="F209" s="46" t="s">
        <v>1562</v>
      </c>
      <c r="G209" s="64" t="s">
        <v>233</v>
      </c>
      <c r="H209" s="4" t="s">
        <v>112</v>
      </c>
      <c r="I209" s="4" t="s">
        <v>109</v>
      </c>
      <c r="J209" s="4" t="s">
        <v>109</v>
      </c>
      <c r="K209" s="4" t="s">
        <v>662</v>
      </c>
      <c r="L209" s="4" t="s">
        <v>194</v>
      </c>
      <c r="M209" s="4" t="s">
        <v>109</v>
      </c>
      <c r="N209" s="4" t="s">
        <v>109</v>
      </c>
      <c r="O209" s="4" t="s">
        <v>109</v>
      </c>
      <c r="Q209" s="4" t="s">
        <v>109</v>
      </c>
      <c r="R209" s="4" t="s">
        <v>109</v>
      </c>
      <c r="S209" s="4" t="s">
        <v>109</v>
      </c>
      <c r="T209" s="4" t="s">
        <v>109</v>
      </c>
      <c r="U209" s="4" t="s">
        <v>285</v>
      </c>
      <c r="V209" s="4" t="s">
        <v>1563</v>
      </c>
      <c r="W209" s="4" t="b">
        <v>0</v>
      </c>
      <c r="X209" s="4" t="s">
        <v>109</v>
      </c>
      <c r="Y209" s="4" t="s">
        <v>535</v>
      </c>
      <c r="AA209" s="4" t="s">
        <v>118</v>
      </c>
      <c r="AB209" s="4" t="s">
        <v>118</v>
      </c>
      <c r="AC209" s="4" t="s">
        <v>119</v>
      </c>
      <c r="AD209" s="4" t="s">
        <v>109</v>
      </c>
      <c r="AE209" s="4">
        <v>1.1000000000000001</v>
      </c>
      <c r="AF209" s="4" t="s">
        <v>3023</v>
      </c>
      <c r="AG209" s="5" t="s">
        <v>3823</v>
      </c>
      <c r="AH209" s="5" t="s">
        <v>3025</v>
      </c>
      <c r="AI209" s="4">
        <v>73</v>
      </c>
      <c r="AJ209" s="4" t="s">
        <v>3824</v>
      </c>
      <c r="AK209" s="4" t="s">
        <v>121</v>
      </c>
      <c r="AL209" s="4" t="s">
        <v>3027</v>
      </c>
      <c r="AM209" s="69">
        <v>45246</v>
      </c>
      <c r="AN209" s="4" t="s">
        <v>122</v>
      </c>
      <c r="AO209" s="4" t="s">
        <v>109</v>
      </c>
      <c r="AP209" s="217" t="s">
        <v>109</v>
      </c>
      <c r="AQ209" s="4" t="b">
        <v>0</v>
      </c>
      <c r="AR209" s="4" t="s">
        <v>109</v>
      </c>
      <c r="AS209" s="4" t="s">
        <v>109</v>
      </c>
      <c r="AT209" s="4" t="s">
        <v>118</v>
      </c>
      <c r="AU209" s="4" t="b">
        <v>0</v>
      </c>
      <c r="AV209" s="4" t="s">
        <v>109</v>
      </c>
      <c r="AW209" s="4" t="s">
        <v>118</v>
      </c>
      <c r="AY209" s="4" t="s">
        <v>124</v>
      </c>
      <c r="AZ209" s="4" t="s">
        <v>109</v>
      </c>
      <c r="BA209" s="4" t="s">
        <v>118</v>
      </c>
      <c r="BB209" s="4" t="s">
        <v>118</v>
      </c>
      <c r="BC209" s="4" t="s">
        <v>109</v>
      </c>
      <c r="BD209" s="69" t="s">
        <v>109</v>
      </c>
      <c r="BE209" s="6" t="s">
        <v>109</v>
      </c>
      <c r="BF209" s="4" t="s">
        <v>109</v>
      </c>
      <c r="BG209" s="4" t="s">
        <v>126</v>
      </c>
      <c r="BH209" s="4" t="s">
        <v>109</v>
      </c>
      <c r="BI209" s="69" t="s">
        <v>109</v>
      </c>
      <c r="BJ209" s="69">
        <v>45657</v>
      </c>
      <c r="BK209" s="69" t="s">
        <v>109</v>
      </c>
      <c r="BL209" s="97" t="s">
        <v>109</v>
      </c>
      <c r="BM209" s="4" t="s">
        <v>109</v>
      </c>
      <c r="BN209" s="4" t="b">
        <v>1</v>
      </c>
      <c r="BO209" s="130" t="s">
        <v>118</v>
      </c>
      <c r="BP209" s="4" t="s">
        <v>128</v>
      </c>
      <c r="CF209" s="4" t="s">
        <v>129</v>
      </c>
      <c r="CS209" s="143" t="s">
        <v>3825</v>
      </c>
      <c r="CU209" s="216" t="s">
        <v>3187</v>
      </c>
      <c r="CW209" s="4" t="s">
        <v>3029</v>
      </c>
      <c r="CX209" s="39"/>
    </row>
    <row r="210" spans="1:102" ht="79.2" x14ac:dyDescent="0.3">
      <c r="A210" s="2">
        <v>243</v>
      </c>
      <c r="B210" s="43" t="s">
        <v>1566</v>
      </c>
      <c r="C210" s="51">
        <v>33.064</v>
      </c>
      <c r="D210" s="51">
        <v>-117.098</v>
      </c>
      <c r="E210" s="2" t="s">
        <v>329</v>
      </c>
      <c r="F210" s="47" t="s">
        <v>1567</v>
      </c>
      <c r="G210" s="67" t="s">
        <v>233</v>
      </c>
      <c r="H210" s="67" t="s">
        <v>112</v>
      </c>
      <c r="I210" s="67" t="s">
        <v>112</v>
      </c>
      <c r="J210" s="67" t="s">
        <v>109</v>
      </c>
      <c r="K210" s="67" t="s">
        <v>114</v>
      </c>
      <c r="L210" s="67" t="s">
        <v>207</v>
      </c>
      <c r="M210" s="67" t="s">
        <v>109</v>
      </c>
      <c r="N210" s="67" t="s">
        <v>109</v>
      </c>
      <c r="O210" s="74">
        <v>45463</v>
      </c>
      <c r="Q210" s="7" t="s">
        <v>3826</v>
      </c>
      <c r="R210" s="67" t="s">
        <v>109</v>
      </c>
      <c r="S210" s="67" t="s">
        <v>109</v>
      </c>
      <c r="T210" s="67" t="s">
        <v>109</v>
      </c>
      <c r="U210" s="2" t="s">
        <v>404</v>
      </c>
      <c r="V210" s="2" t="s">
        <v>918</v>
      </c>
      <c r="W210" s="2" t="b">
        <v>0</v>
      </c>
      <c r="X210" s="2" t="s">
        <v>109</v>
      </c>
      <c r="Y210" s="2" t="s">
        <v>535</v>
      </c>
      <c r="AA210" s="2">
        <v>7</v>
      </c>
      <c r="AB210" s="2" t="s">
        <v>109</v>
      </c>
      <c r="AC210" s="2" t="s">
        <v>109</v>
      </c>
      <c r="AD210" s="2" t="s">
        <v>109</v>
      </c>
      <c r="AE210" s="2">
        <v>1.1000000000000001</v>
      </c>
      <c r="AF210" s="2" t="s">
        <v>3827</v>
      </c>
      <c r="AG210" s="3" t="s">
        <v>3823</v>
      </c>
      <c r="AH210" s="3" t="s">
        <v>3828</v>
      </c>
      <c r="AI210" s="2">
        <v>1</v>
      </c>
      <c r="AJ210" s="2" t="s">
        <v>3824</v>
      </c>
      <c r="AK210" s="2" t="s">
        <v>121</v>
      </c>
      <c r="AL210" s="2" t="s">
        <v>3027</v>
      </c>
      <c r="AM210" s="68">
        <v>43698</v>
      </c>
      <c r="AN210" s="2" t="s">
        <v>122</v>
      </c>
      <c r="AO210" s="2" t="s">
        <v>109</v>
      </c>
      <c r="AP210" s="109" t="s">
        <v>109</v>
      </c>
      <c r="AQ210" s="2" t="b">
        <v>0</v>
      </c>
      <c r="AR210" s="2" t="s">
        <v>109</v>
      </c>
      <c r="AS210" s="2" t="s">
        <v>109</v>
      </c>
      <c r="AT210" s="2" t="s">
        <v>109</v>
      </c>
      <c r="AU210" s="2" t="b">
        <v>0</v>
      </c>
      <c r="AV210" s="2" t="s">
        <v>109</v>
      </c>
      <c r="AW210" s="2" t="s">
        <v>109</v>
      </c>
      <c r="AY210" s="2" t="s">
        <v>109</v>
      </c>
      <c r="AZ210" s="2" t="s">
        <v>109</v>
      </c>
      <c r="BA210" s="2" t="s">
        <v>109</v>
      </c>
      <c r="BB210" s="2" t="s">
        <v>109</v>
      </c>
      <c r="BC210" s="2" t="s">
        <v>135</v>
      </c>
      <c r="BD210" s="2" t="s">
        <v>109</v>
      </c>
      <c r="BE210" s="2" t="s">
        <v>109</v>
      </c>
      <c r="BF210" s="2" t="s">
        <v>109</v>
      </c>
      <c r="BG210" s="2" t="s">
        <v>126</v>
      </c>
      <c r="BH210" s="2" t="s">
        <v>109</v>
      </c>
      <c r="BI210" s="76">
        <v>43979</v>
      </c>
      <c r="BJ210" s="68">
        <v>44561</v>
      </c>
      <c r="BK210" s="76">
        <v>45187</v>
      </c>
      <c r="BL210" s="98" t="s">
        <v>109</v>
      </c>
      <c r="BM210" s="98" t="s">
        <v>109</v>
      </c>
      <c r="BN210" s="2" t="b">
        <v>1</v>
      </c>
      <c r="BO210" s="85" t="s">
        <v>118</v>
      </c>
      <c r="BP210" s="2" t="s">
        <v>128</v>
      </c>
      <c r="CF210" s="2" t="s">
        <v>174</v>
      </c>
      <c r="CS210" s="142" t="s">
        <v>3829</v>
      </c>
      <c r="CU210" s="132" t="s">
        <v>3187</v>
      </c>
      <c r="CW210" s="2" t="s">
        <v>3191</v>
      </c>
      <c r="CX210" s="38"/>
    </row>
    <row r="211" spans="1:102" ht="52.8" x14ac:dyDescent="0.3">
      <c r="A211" s="4">
        <v>244</v>
      </c>
      <c r="B211" s="44" t="s">
        <v>1572</v>
      </c>
      <c r="C211" s="53">
        <v>33.08</v>
      </c>
      <c r="D211" s="53">
        <v>-117.124</v>
      </c>
      <c r="E211" s="4" t="s">
        <v>329</v>
      </c>
      <c r="F211" s="46" t="s">
        <v>1573</v>
      </c>
      <c r="G211" s="64" t="s">
        <v>233</v>
      </c>
      <c r="H211" s="64" t="s">
        <v>112</v>
      </c>
      <c r="I211" s="64" t="s">
        <v>112</v>
      </c>
      <c r="J211" s="64" t="s">
        <v>109</v>
      </c>
      <c r="K211" s="64" t="s">
        <v>114</v>
      </c>
      <c r="L211" s="64" t="s">
        <v>207</v>
      </c>
      <c r="M211" s="64" t="s">
        <v>109</v>
      </c>
      <c r="N211" s="64" t="s">
        <v>109</v>
      </c>
      <c r="O211" s="66">
        <v>45405</v>
      </c>
      <c r="Q211" s="6" t="s">
        <v>109</v>
      </c>
      <c r="R211" s="64" t="s">
        <v>109</v>
      </c>
      <c r="S211" s="64" t="s">
        <v>109</v>
      </c>
      <c r="T211" s="64" t="s">
        <v>109</v>
      </c>
      <c r="U211" s="4" t="s">
        <v>404</v>
      </c>
      <c r="V211" s="4" t="s">
        <v>918</v>
      </c>
      <c r="W211" s="4" t="b">
        <v>0</v>
      </c>
      <c r="X211" s="4" t="s">
        <v>109</v>
      </c>
      <c r="Y211" s="4" t="s">
        <v>535</v>
      </c>
      <c r="AA211" s="4">
        <v>4.3</v>
      </c>
      <c r="AB211" s="4" t="s">
        <v>109</v>
      </c>
      <c r="AC211" s="4" t="s">
        <v>109</v>
      </c>
      <c r="AD211" s="4" t="s">
        <v>109</v>
      </c>
      <c r="AE211" s="4">
        <v>1.1000000000000001</v>
      </c>
      <c r="AF211" s="4" t="s">
        <v>3830</v>
      </c>
      <c r="AG211" s="5" t="s">
        <v>3823</v>
      </c>
      <c r="AH211" s="5" t="s">
        <v>3831</v>
      </c>
      <c r="AI211" s="4">
        <v>1</v>
      </c>
      <c r="AJ211" s="4" t="s">
        <v>3824</v>
      </c>
      <c r="AK211" s="4" t="s">
        <v>121</v>
      </c>
      <c r="AL211" s="4" t="s">
        <v>3027</v>
      </c>
      <c r="AM211" s="69">
        <v>43892</v>
      </c>
      <c r="AN211" s="4" t="s">
        <v>122</v>
      </c>
      <c r="AO211" s="4" t="s">
        <v>109</v>
      </c>
      <c r="AP211" s="217" t="s">
        <v>109</v>
      </c>
      <c r="AQ211" s="4" t="b">
        <v>0</v>
      </c>
      <c r="AR211" s="4" t="s">
        <v>109</v>
      </c>
      <c r="AS211" s="4" t="s">
        <v>109</v>
      </c>
      <c r="AT211" s="4" t="s">
        <v>109</v>
      </c>
      <c r="AU211" s="4" t="b">
        <v>0</v>
      </c>
      <c r="AV211" s="4" t="s">
        <v>109</v>
      </c>
      <c r="AW211" s="4" t="s">
        <v>109</v>
      </c>
      <c r="AY211" s="4" t="s">
        <v>109</v>
      </c>
      <c r="AZ211" s="4" t="s">
        <v>109</v>
      </c>
      <c r="BA211" s="4" t="s">
        <v>109</v>
      </c>
      <c r="BB211" s="4" t="s">
        <v>109</v>
      </c>
      <c r="BC211" s="4" t="s">
        <v>135</v>
      </c>
      <c r="BD211" s="4" t="s">
        <v>109</v>
      </c>
      <c r="BE211" s="4" t="s">
        <v>109</v>
      </c>
      <c r="BF211" s="4" t="s">
        <v>109</v>
      </c>
      <c r="BG211" s="4" t="s">
        <v>126</v>
      </c>
      <c r="BH211" s="4" t="s">
        <v>109</v>
      </c>
      <c r="BI211" s="75">
        <v>44950</v>
      </c>
      <c r="BJ211" s="69">
        <v>44713</v>
      </c>
      <c r="BK211" s="75">
        <v>45131</v>
      </c>
      <c r="BL211" s="97" t="s">
        <v>109</v>
      </c>
      <c r="BM211" s="97" t="s">
        <v>109</v>
      </c>
      <c r="BN211" s="4" t="b">
        <v>1</v>
      </c>
      <c r="BO211" s="130" t="s">
        <v>118</v>
      </c>
      <c r="BP211" s="4" t="s">
        <v>128</v>
      </c>
      <c r="CF211" s="4" t="s">
        <v>174</v>
      </c>
      <c r="CS211" s="143" t="s">
        <v>1579</v>
      </c>
      <c r="CU211" s="216" t="s">
        <v>3187</v>
      </c>
      <c r="CW211" s="4" t="s">
        <v>3832</v>
      </c>
      <c r="CX211" s="40"/>
    </row>
    <row r="212" spans="1:102" ht="66" x14ac:dyDescent="0.3">
      <c r="A212" s="2">
        <v>245</v>
      </c>
      <c r="B212" s="43" t="s">
        <v>1580</v>
      </c>
      <c r="C212" s="51">
        <v>33.087000000000003</v>
      </c>
      <c r="D212" s="51">
        <v>-117.119</v>
      </c>
      <c r="E212" s="2" t="s">
        <v>749</v>
      </c>
      <c r="F212" s="47" t="s">
        <v>1581</v>
      </c>
      <c r="G212" s="67" t="s">
        <v>233</v>
      </c>
      <c r="H212" s="67" t="s">
        <v>112</v>
      </c>
      <c r="I212" s="67" t="s">
        <v>112</v>
      </c>
      <c r="J212" s="67" t="s">
        <v>109</v>
      </c>
      <c r="K212" s="67" t="s">
        <v>114</v>
      </c>
      <c r="L212" s="67" t="s">
        <v>207</v>
      </c>
      <c r="M212" s="67" t="s">
        <v>109</v>
      </c>
      <c r="N212" s="67" t="s">
        <v>109</v>
      </c>
      <c r="O212" s="74">
        <v>45405</v>
      </c>
      <c r="Q212" s="7" t="s">
        <v>109</v>
      </c>
      <c r="R212" s="67" t="s">
        <v>109</v>
      </c>
      <c r="S212" s="67" t="s">
        <v>109</v>
      </c>
      <c r="T212" s="67" t="s">
        <v>109</v>
      </c>
      <c r="U212" s="2" t="s">
        <v>404</v>
      </c>
      <c r="V212" s="2" t="s">
        <v>918</v>
      </c>
      <c r="W212" s="2" t="b">
        <v>0</v>
      </c>
      <c r="X212" s="2" t="s">
        <v>109</v>
      </c>
      <c r="Y212" s="2" t="s">
        <v>535</v>
      </c>
      <c r="AA212" s="2">
        <v>3.8</v>
      </c>
      <c r="AB212" s="2" t="s">
        <v>109</v>
      </c>
      <c r="AC212" s="2" t="s">
        <v>109</v>
      </c>
      <c r="AD212" s="2" t="s">
        <v>109</v>
      </c>
      <c r="AE212" s="2">
        <v>1.1000000000000001</v>
      </c>
      <c r="AF212" s="2" t="s">
        <v>3833</v>
      </c>
      <c r="AG212" s="3" t="s">
        <v>3823</v>
      </c>
      <c r="AH212" s="3" t="s">
        <v>3834</v>
      </c>
      <c r="AI212" s="2">
        <v>1</v>
      </c>
      <c r="AJ212" s="2" t="s">
        <v>3824</v>
      </c>
      <c r="AK212" s="2" t="s">
        <v>121</v>
      </c>
      <c r="AL212" s="2" t="s">
        <v>3027</v>
      </c>
      <c r="AM212" s="68">
        <v>43951</v>
      </c>
      <c r="AN212" s="2" t="s">
        <v>122</v>
      </c>
      <c r="AO212" s="2" t="s">
        <v>109</v>
      </c>
      <c r="AP212" s="109" t="s">
        <v>109</v>
      </c>
      <c r="AQ212" s="2" t="b">
        <v>0</v>
      </c>
      <c r="AR212" s="2" t="s">
        <v>109</v>
      </c>
      <c r="AS212" s="2" t="s">
        <v>109</v>
      </c>
      <c r="AT212" s="2" t="s">
        <v>109</v>
      </c>
      <c r="AU212" s="2" t="b">
        <v>0</v>
      </c>
      <c r="AV212" s="2" t="s">
        <v>109</v>
      </c>
      <c r="AW212" s="2" t="s">
        <v>109</v>
      </c>
      <c r="AY212" s="2" t="s">
        <v>109</v>
      </c>
      <c r="AZ212" s="2" t="s">
        <v>109</v>
      </c>
      <c r="BA212" s="2" t="s">
        <v>109</v>
      </c>
      <c r="BB212" s="2" t="s">
        <v>109</v>
      </c>
      <c r="BC212" s="2" t="s">
        <v>135</v>
      </c>
      <c r="BD212" s="2" t="s">
        <v>109</v>
      </c>
      <c r="BE212" s="2" t="s">
        <v>109</v>
      </c>
      <c r="BF212" s="2" t="s">
        <v>109</v>
      </c>
      <c r="BG212" s="2" t="s">
        <v>126</v>
      </c>
      <c r="BH212" s="2" t="s">
        <v>109</v>
      </c>
      <c r="BI212" s="76">
        <v>45222</v>
      </c>
      <c r="BJ212" s="68">
        <v>44713</v>
      </c>
      <c r="BK212" s="76">
        <v>45309</v>
      </c>
      <c r="BL212" s="98" t="s">
        <v>109</v>
      </c>
      <c r="BM212" s="98" t="s">
        <v>109</v>
      </c>
      <c r="BN212" s="2" t="b">
        <v>1</v>
      </c>
      <c r="BO212" s="85" t="s">
        <v>118</v>
      </c>
      <c r="BP212" s="2" t="s">
        <v>128</v>
      </c>
      <c r="CF212" s="2" t="s">
        <v>2295</v>
      </c>
      <c r="CS212" s="142" t="s">
        <v>3221</v>
      </c>
      <c r="CU212" s="132" t="s">
        <v>3187</v>
      </c>
      <c r="CW212" s="2" t="s">
        <v>3835</v>
      </c>
      <c r="CX212" s="38"/>
    </row>
    <row r="213" spans="1:102" ht="66" x14ac:dyDescent="0.3">
      <c r="A213" s="4">
        <v>246</v>
      </c>
      <c r="B213" s="44" t="s">
        <v>1587</v>
      </c>
      <c r="C213" s="53">
        <v>32.878</v>
      </c>
      <c r="D213" s="53">
        <v>-116.908</v>
      </c>
      <c r="E213" s="4" t="s">
        <v>1588</v>
      </c>
      <c r="F213" s="46" t="s">
        <v>1589</v>
      </c>
      <c r="G213" s="64" t="s">
        <v>233</v>
      </c>
      <c r="H213" s="64" t="s">
        <v>112</v>
      </c>
      <c r="I213" s="64" t="s">
        <v>112</v>
      </c>
      <c r="J213" s="64" t="s">
        <v>109</v>
      </c>
      <c r="K213" s="64" t="s">
        <v>114</v>
      </c>
      <c r="L213" s="64" t="s">
        <v>207</v>
      </c>
      <c r="M213" s="64" t="s">
        <v>109</v>
      </c>
      <c r="N213" s="64" t="s">
        <v>109</v>
      </c>
      <c r="O213" s="66">
        <v>45605</v>
      </c>
      <c r="Q213" s="6" t="s">
        <v>109</v>
      </c>
      <c r="R213" s="64" t="s">
        <v>109</v>
      </c>
      <c r="S213" s="64" t="s">
        <v>109</v>
      </c>
      <c r="T213" s="64" t="s">
        <v>109</v>
      </c>
      <c r="U213" s="4" t="s">
        <v>404</v>
      </c>
      <c r="V213" s="4" t="s">
        <v>918</v>
      </c>
      <c r="W213" s="4" t="b">
        <v>0</v>
      </c>
      <c r="X213" s="4" t="s">
        <v>109</v>
      </c>
      <c r="Y213" s="4" t="s">
        <v>535</v>
      </c>
      <c r="AA213" s="4">
        <v>39.57</v>
      </c>
      <c r="AB213" s="4" t="s">
        <v>109</v>
      </c>
      <c r="AC213" s="4" t="s">
        <v>109</v>
      </c>
      <c r="AD213" s="4" t="s">
        <v>109</v>
      </c>
      <c r="AE213" s="4">
        <v>1.1000000000000001</v>
      </c>
      <c r="AF213" s="4" t="s">
        <v>3836</v>
      </c>
      <c r="AG213" s="5" t="s">
        <v>3823</v>
      </c>
      <c r="AH213" s="5" t="s">
        <v>3837</v>
      </c>
      <c r="AI213" s="4">
        <v>1</v>
      </c>
      <c r="AJ213" s="4" t="s">
        <v>3824</v>
      </c>
      <c r="AK213" s="4" t="s">
        <v>121</v>
      </c>
      <c r="AL213" s="4" t="s">
        <v>3027</v>
      </c>
      <c r="AM213" s="69">
        <v>44854</v>
      </c>
      <c r="AN213" s="4" t="s">
        <v>122</v>
      </c>
      <c r="AO213" s="4" t="s">
        <v>109</v>
      </c>
      <c r="AP213" s="217" t="s">
        <v>109</v>
      </c>
      <c r="AQ213" s="4" t="b">
        <v>0</v>
      </c>
      <c r="AR213" s="4" t="s">
        <v>109</v>
      </c>
      <c r="AS213" s="4" t="s">
        <v>109</v>
      </c>
      <c r="AT213" s="4" t="s">
        <v>109</v>
      </c>
      <c r="AU213" s="4" t="b">
        <v>0</v>
      </c>
      <c r="AV213" s="4" t="s">
        <v>109</v>
      </c>
      <c r="AW213" s="4" t="s">
        <v>109</v>
      </c>
      <c r="AY213" s="4" t="s">
        <v>109</v>
      </c>
      <c r="AZ213" s="4" t="s">
        <v>109</v>
      </c>
      <c r="BA213" s="4" t="s">
        <v>109</v>
      </c>
      <c r="BB213" s="4" t="s">
        <v>109</v>
      </c>
      <c r="BC213" s="4" t="s">
        <v>135</v>
      </c>
      <c r="BD213" s="4" t="s">
        <v>109</v>
      </c>
      <c r="BE213" s="4" t="s">
        <v>109</v>
      </c>
      <c r="BF213" s="4" t="s">
        <v>109</v>
      </c>
      <c r="BG213" s="4" t="s">
        <v>425</v>
      </c>
      <c r="BH213" s="4" t="s">
        <v>109</v>
      </c>
      <c r="BI213" s="75">
        <v>45523</v>
      </c>
      <c r="BJ213" s="69">
        <v>45589</v>
      </c>
      <c r="BK213" s="75">
        <v>45923</v>
      </c>
      <c r="BL213" s="97" t="s">
        <v>109</v>
      </c>
      <c r="BM213" s="97" t="s">
        <v>109</v>
      </c>
      <c r="BN213" s="6" t="b">
        <v>1</v>
      </c>
      <c r="BO213" s="130" t="s">
        <v>118</v>
      </c>
      <c r="BP213" s="4" t="s">
        <v>128</v>
      </c>
      <c r="CF213" s="4">
        <v>2025</v>
      </c>
      <c r="CS213" s="143" t="s">
        <v>3221</v>
      </c>
      <c r="CU213" s="216" t="s">
        <v>3187</v>
      </c>
      <c r="CW213" s="4" t="s">
        <v>3838</v>
      </c>
      <c r="CX213" s="39"/>
    </row>
    <row r="214" spans="1:102" ht="66" x14ac:dyDescent="0.3">
      <c r="A214" s="2">
        <v>247</v>
      </c>
      <c r="B214" s="43" t="s">
        <v>1594</v>
      </c>
      <c r="C214" s="51">
        <v>32.932000000000002</v>
      </c>
      <c r="D214" s="51">
        <v>-117.07599999999999</v>
      </c>
      <c r="E214" s="2" t="s">
        <v>1595</v>
      </c>
      <c r="F214" s="47" t="s">
        <v>1596</v>
      </c>
      <c r="G214" s="67" t="s">
        <v>233</v>
      </c>
      <c r="H214" s="67" t="s">
        <v>112</v>
      </c>
      <c r="I214" s="67" t="s">
        <v>112</v>
      </c>
      <c r="J214" s="67" t="s">
        <v>109</v>
      </c>
      <c r="K214" s="67" t="s">
        <v>114</v>
      </c>
      <c r="L214" s="67" t="s">
        <v>207</v>
      </c>
      <c r="M214" s="67" t="s">
        <v>109</v>
      </c>
      <c r="N214" s="67" t="s">
        <v>109</v>
      </c>
      <c r="O214" s="74">
        <v>45353</v>
      </c>
      <c r="Q214" s="7" t="s">
        <v>109</v>
      </c>
      <c r="R214" s="67" t="s">
        <v>109</v>
      </c>
      <c r="S214" s="67" t="s">
        <v>109</v>
      </c>
      <c r="T214" s="67" t="s">
        <v>109</v>
      </c>
      <c r="U214" s="2" t="s">
        <v>404</v>
      </c>
      <c r="V214" s="2" t="s">
        <v>918</v>
      </c>
      <c r="W214" s="2" t="b">
        <v>0</v>
      </c>
      <c r="X214" s="2" t="s">
        <v>109</v>
      </c>
      <c r="Y214" s="2" t="s">
        <v>535</v>
      </c>
      <c r="AA214" s="2">
        <v>1.88</v>
      </c>
      <c r="AB214" s="2" t="s">
        <v>109</v>
      </c>
      <c r="AC214" s="2" t="s">
        <v>109</v>
      </c>
      <c r="AD214" s="2" t="s">
        <v>109</v>
      </c>
      <c r="AE214" s="2">
        <v>1.1000000000000001</v>
      </c>
      <c r="AF214" s="2" t="s">
        <v>3839</v>
      </c>
      <c r="AG214" s="3" t="s">
        <v>3823</v>
      </c>
      <c r="AH214" s="3" t="s">
        <v>3840</v>
      </c>
      <c r="AI214" s="2">
        <v>1</v>
      </c>
      <c r="AJ214" s="2" t="s">
        <v>3824</v>
      </c>
      <c r="AK214" s="2" t="s">
        <v>121</v>
      </c>
      <c r="AL214" s="2" t="s">
        <v>3027</v>
      </c>
      <c r="AM214" s="68">
        <v>44854</v>
      </c>
      <c r="AN214" s="2" t="s">
        <v>122</v>
      </c>
      <c r="AO214" s="2" t="s">
        <v>109</v>
      </c>
      <c r="AP214" s="109" t="s">
        <v>109</v>
      </c>
      <c r="AQ214" s="2" t="b">
        <v>0</v>
      </c>
      <c r="AR214" s="2" t="s">
        <v>109</v>
      </c>
      <c r="AS214" s="2" t="s">
        <v>109</v>
      </c>
      <c r="AT214" s="2" t="s">
        <v>109</v>
      </c>
      <c r="AU214" s="2" t="b">
        <v>0</v>
      </c>
      <c r="AV214" s="2" t="s">
        <v>109</v>
      </c>
      <c r="AW214" s="2" t="s">
        <v>109</v>
      </c>
      <c r="AY214" s="2" t="s">
        <v>109</v>
      </c>
      <c r="AZ214" s="2" t="s">
        <v>109</v>
      </c>
      <c r="BA214" s="2" t="s">
        <v>109</v>
      </c>
      <c r="BB214" s="2" t="s">
        <v>109</v>
      </c>
      <c r="BC214" s="2" t="s">
        <v>135</v>
      </c>
      <c r="BD214" s="2" t="s">
        <v>109</v>
      </c>
      <c r="BE214" s="2" t="s">
        <v>109</v>
      </c>
      <c r="BF214" s="2" t="s">
        <v>109</v>
      </c>
      <c r="BG214" s="2" t="s">
        <v>425</v>
      </c>
      <c r="BH214" s="2" t="s">
        <v>109</v>
      </c>
      <c r="BI214" s="68">
        <v>45881</v>
      </c>
      <c r="BJ214" s="68">
        <v>45657</v>
      </c>
      <c r="BK214" s="68">
        <v>46191</v>
      </c>
      <c r="BL214" s="98" t="s">
        <v>109</v>
      </c>
      <c r="BM214" s="98" t="s">
        <v>109</v>
      </c>
      <c r="BN214" s="2" t="b">
        <v>1</v>
      </c>
      <c r="BO214" s="85" t="s">
        <v>118</v>
      </c>
      <c r="BP214" s="2" t="s">
        <v>128</v>
      </c>
      <c r="CF214" s="2" t="s">
        <v>528</v>
      </c>
      <c r="CS214" s="142" t="s">
        <v>3221</v>
      </c>
      <c r="CU214" s="132" t="s">
        <v>3187</v>
      </c>
      <c r="CW214" s="2" t="s">
        <v>3841</v>
      </c>
      <c r="CX214" s="38"/>
    </row>
    <row r="215" spans="1:102" ht="66" x14ac:dyDescent="0.3">
      <c r="A215" s="4">
        <v>248</v>
      </c>
      <c r="B215" s="44" t="s">
        <v>1600</v>
      </c>
      <c r="C215" s="53">
        <v>33.305</v>
      </c>
      <c r="D215" s="53">
        <v>-117.098</v>
      </c>
      <c r="E215" s="4" t="s">
        <v>191</v>
      </c>
      <c r="F215" s="46" t="s">
        <v>1601</v>
      </c>
      <c r="G215" s="64" t="s">
        <v>233</v>
      </c>
      <c r="H215" s="64" t="s">
        <v>112</v>
      </c>
      <c r="I215" s="64" t="s">
        <v>112</v>
      </c>
      <c r="J215" s="64" t="s">
        <v>109</v>
      </c>
      <c r="K215" s="64" t="s">
        <v>114</v>
      </c>
      <c r="L215" s="64" t="s">
        <v>207</v>
      </c>
      <c r="M215" s="64" t="s">
        <v>109</v>
      </c>
      <c r="N215" s="64" t="s">
        <v>109</v>
      </c>
      <c r="O215" s="66">
        <v>45325.5</v>
      </c>
      <c r="Q215" s="6" t="s">
        <v>109</v>
      </c>
      <c r="R215" s="64" t="s">
        <v>109</v>
      </c>
      <c r="S215" s="64" t="s">
        <v>109</v>
      </c>
      <c r="T215" s="64" t="s">
        <v>109</v>
      </c>
      <c r="U215" s="4" t="s">
        <v>404</v>
      </c>
      <c r="V215" s="4" t="s">
        <v>918</v>
      </c>
      <c r="W215" s="4" t="b">
        <v>0</v>
      </c>
      <c r="X215" s="4" t="s">
        <v>109</v>
      </c>
      <c r="Y215" s="4" t="s">
        <v>535</v>
      </c>
      <c r="AA215" s="4">
        <v>7.97</v>
      </c>
      <c r="AB215" s="4" t="s">
        <v>109</v>
      </c>
      <c r="AC215" s="4" t="s">
        <v>109</v>
      </c>
      <c r="AD215" s="4" t="s">
        <v>109</v>
      </c>
      <c r="AE215" s="4">
        <v>1.1000000000000001</v>
      </c>
      <c r="AF215" s="4" t="s">
        <v>3842</v>
      </c>
      <c r="AG215" s="5" t="s">
        <v>3823</v>
      </c>
      <c r="AH215" s="5" t="s">
        <v>3843</v>
      </c>
      <c r="AI215" s="4">
        <v>1</v>
      </c>
      <c r="AJ215" s="4" t="s">
        <v>3824</v>
      </c>
      <c r="AK215" s="4" t="s">
        <v>121</v>
      </c>
      <c r="AL215" s="4" t="s">
        <v>3027</v>
      </c>
      <c r="AM215" s="69">
        <v>43584</v>
      </c>
      <c r="AN215" s="4" t="s">
        <v>122</v>
      </c>
      <c r="AO215" s="4" t="s">
        <v>109</v>
      </c>
      <c r="AP215" s="217" t="s">
        <v>109</v>
      </c>
      <c r="AQ215" s="4" t="b">
        <v>0</v>
      </c>
      <c r="AR215" s="4" t="s">
        <v>109</v>
      </c>
      <c r="AS215" s="4" t="s">
        <v>109</v>
      </c>
      <c r="AT215" s="4" t="s">
        <v>109</v>
      </c>
      <c r="AU215" s="4" t="b">
        <v>0</v>
      </c>
      <c r="AV215" s="4" t="s">
        <v>109</v>
      </c>
      <c r="AW215" s="4" t="s">
        <v>109</v>
      </c>
      <c r="AY215" s="4" t="s">
        <v>109</v>
      </c>
      <c r="AZ215" s="4" t="s">
        <v>109</v>
      </c>
      <c r="BA215" s="4" t="s">
        <v>109</v>
      </c>
      <c r="BB215" s="4" t="s">
        <v>109</v>
      </c>
      <c r="BC215" s="4" t="s">
        <v>135</v>
      </c>
      <c r="BD215" s="4" t="s">
        <v>109</v>
      </c>
      <c r="BE215" s="4" t="s">
        <v>109</v>
      </c>
      <c r="BF215" s="4" t="s">
        <v>109</v>
      </c>
      <c r="BG215" s="4" t="s">
        <v>425</v>
      </c>
      <c r="BH215" s="4" t="s">
        <v>109</v>
      </c>
      <c r="BI215" s="75">
        <v>45887</v>
      </c>
      <c r="BJ215" s="69">
        <v>44180</v>
      </c>
      <c r="BK215" s="75">
        <v>46031</v>
      </c>
      <c r="BL215" s="97" t="s">
        <v>109</v>
      </c>
      <c r="BM215" s="97" t="s">
        <v>109</v>
      </c>
      <c r="BN215" s="6" t="b">
        <v>1</v>
      </c>
      <c r="BO215" s="130" t="s">
        <v>118</v>
      </c>
      <c r="BP215" s="4" t="s">
        <v>128</v>
      </c>
      <c r="CF215" s="4">
        <v>2025</v>
      </c>
      <c r="CS215" s="143" t="s">
        <v>3221</v>
      </c>
      <c r="CU215" s="216" t="s">
        <v>3187</v>
      </c>
      <c r="CW215" s="4" t="s">
        <v>3844</v>
      </c>
      <c r="CX215" s="39"/>
    </row>
    <row r="216" spans="1:102" ht="66" x14ac:dyDescent="0.3">
      <c r="A216" s="2">
        <v>249</v>
      </c>
      <c r="B216" s="43" t="s">
        <v>1607</v>
      </c>
      <c r="C216" s="51">
        <v>33.064</v>
      </c>
      <c r="D216" s="51">
        <v>-117.098</v>
      </c>
      <c r="E216" s="2" t="s">
        <v>329</v>
      </c>
      <c r="F216" s="47" t="s">
        <v>1608</v>
      </c>
      <c r="G216" s="67" t="s">
        <v>233</v>
      </c>
      <c r="H216" s="67" t="s">
        <v>112</v>
      </c>
      <c r="I216" s="67" t="s">
        <v>112</v>
      </c>
      <c r="J216" s="67" t="s">
        <v>109</v>
      </c>
      <c r="K216" s="67" t="s">
        <v>114</v>
      </c>
      <c r="L216" s="67" t="s">
        <v>207</v>
      </c>
      <c r="M216" s="67" t="s">
        <v>109</v>
      </c>
      <c r="N216" s="67" t="s">
        <v>109</v>
      </c>
      <c r="O216" s="74">
        <v>45463</v>
      </c>
      <c r="Q216" s="7" t="s">
        <v>1609</v>
      </c>
      <c r="R216" s="67" t="s">
        <v>109</v>
      </c>
      <c r="S216" s="67" t="s">
        <v>109</v>
      </c>
      <c r="T216" s="67" t="s">
        <v>109</v>
      </c>
      <c r="U216" s="2" t="s">
        <v>404</v>
      </c>
      <c r="V216" s="2" t="s">
        <v>918</v>
      </c>
      <c r="W216" s="2" t="b">
        <v>0</v>
      </c>
      <c r="X216" s="2" t="s">
        <v>109</v>
      </c>
      <c r="Y216" s="2" t="s">
        <v>535</v>
      </c>
      <c r="AA216" s="2">
        <v>7</v>
      </c>
      <c r="AB216" s="2" t="s">
        <v>109</v>
      </c>
      <c r="AC216" s="2" t="s">
        <v>109</v>
      </c>
      <c r="AD216" s="2" t="s">
        <v>109</v>
      </c>
      <c r="AE216" s="2">
        <v>1.1000000000000001</v>
      </c>
      <c r="AF216" s="2" t="s">
        <v>3845</v>
      </c>
      <c r="AG216" s="3" t="s">
        <v>3823</v>
      </c>
      <c r="AH216" s="3" t="s">
        <v>3846</v>
      </c>
      <c r="AI216" s="2">
        <v>1</v>
      </c>
      <c r="AJ216" s="2" t="s">
        <v>3824</v>
      </c>
      <c r="AK216" s="2" t="s">
        <v>121</v>
      </c>
      <c r="AL216" s="2" t="s">
        <v>3027</v>
      </c>
      <c r="AM216" s="68">
        <v>42612</v>
      </c>
      <c r="AN216" s="2" t="s">
        <v>122</v>
      </c>
      <c r="AO216" s="2" t="s">
        <v>109</v>
      </c>
      <c r="AP216" s="109" t="s">
        <v>109</v>
      </c>
      <c r="AQ216" s="2" t="b">
        <v>0</v>
      </c>
      <c r="AR216" s="2" t="s">
        <v>109</v>
      </c>
      <c r="AS216" s="2" t="s">
        <v>109</v>
      </c>
      <c r="AT216" s="2" t="s">
        <v>109</v>
      </c>
      <c r="AU216" s="2" t="b">
        <v>0</v>
      </c>
      <c r="AV216" s="2" t="s">
        <v>109</v>
      </c>
      <c r="AW216" s="2" t="s">
        <v>109</v>
      </c>
      <c r="AY216" s="2" t="s">
        <v>109</v>
      </c>
      <c r="AZ216" s="2" t="s">
        <v>109</v>
      </c>
      <c r="BA216" s="2" t="s">
        <v>109</v>
      </c>
      <c r="BB216" s="2" t="s">
        <v>109</v>
      </c>
      <c r="BC216" s="2" t="s">
        <v>135</v>
      </c>
      <c r="BD216" s="2" t="s">
        <v>109</v>
      </c>
      <c r="BE216" s="2" t="s">
        <v>109</v>
      </c>
      <c r="BF216" s="2" t="s">
        <v>109</v>
      </c>
      <c r="BG216" s="2" t="s">
        <v>126</v>
      </c>
      <c r="BH216" s="2" t="s">
        <v>109</v>
      </c>
      <c r="BI216" s="76">
        <v>45299</v>
      </c>
      <c r="BJ216" s="68">
        <v>43271</v>
      </c>
      <c r="BK216" s="76">
        <v>45399</v>
      </c>
      <c r="BL216" s="98" t="s">
        <v>109</v>
      </c>
      <c r="BM216" s="98" t="s">
        <v>109</v>
      </c>
      <c r="BN216" s="2" t="b">
        <v>1</v>
      </c>
      <c r="BO216" s="85" t="s">
        <v>118</v>
      </c>
      <c r="BP216" s="2" t="s">
        <v>128</v>
      </c>
      <c r="CF216" s="2" t="s">
        <v>2295</v>
      </c>
      <c r="CS216" s="142" t="s">
        <v>3221</v>
      </c>
      <c r="CU216" s="132" t="s">
        <v>3187</v>
      </c>
      <c r="CW216" s="2" t="s">
        <v>3191</v>
      </c>
      <c r="CX216" s="38"/>
    </row>
    <row r="217" spans="1:102" ht="66" x14ac:dyDescent="0.3">
      <c r="A217" s="4">
        <v>250</v>
      </c>
      <c r="B217" s="44" t="s">
        <v>1615</v>
      </c>
      <c r="C217" s="53">
        <v>32.936999999999998</v>
      </c>
      <c r="D217" s="53">
        <v>-116.881</v>
      </c>
      <c r="E217" s="4" t="s">
        <v>1616</v>
      </c>
      <c r="F217" s="46" t="s">
        <v>1617</v>
      </c>
      <c r="G217" s="64" t="s">
        <v>233</v>
      </c>
      <c r="H217" s="64" t="s">
        <v>112</v>
      </c>
      <c r="I217" s="64" t="s">
        <v>112</v>
      </c>
      <c r="J217" s="64" t="s">
        <v>109</v>
      </c>
      <c r="K217" s="64" t="s">
        <v>114</v>
      </c>
      <c r="L217" s="64" t="s">
        <v>207</v>
      </c>
      <c r="M217" s="64" t="s">
        <v>109</v>
      </c>
      <c r="N217" s="64" t="s">
        <v>109</v>
      </c>
      <c r="O217" s="66">
        <v>45300.5</v>
      </c>
      <c r="Q217" s="6" t="s">
        <v>109</v>
      </c>
      <c r="R217" s="64" t="s">
        <v>109</v>
      </c>
      <c r="S217" s="64" t="s">
        <v>109</v>
      </c>
      <c r="T217" s="64" t="s">
        <v>109</v>
      </c>
      <c r="U217" s="4" t="s">
        <v>310</v>
      </c>
      <c r="V217" s="4" t="s">
        <v>918</v>
      </c>
      <c r="W217" s="4" t="b">
        <v>0</v>
      </c>
      <c r="X217" s="4" t="s">
        <v>109</v>
      </c>
      <c r="Y217" s="4" t="s">
        <v>535</v>
      </c>
      <c r="AA217" s="4">
        <v>10.5</v>
      </c>
      <c r="AB217" s="4" t="s">
        <v>109</v>
      </c>
      <c r="AC217" s="4" t="s">
        <v>109</v>
      </c>
      <c r="AD217" s="4" t="s">
        <v>109</v>
      </c>
      <c r="AE217" s="4">
        <v>1.1000000000000001</v>
      </c>
      <c r="AF217" s="4" t="s">
        <v>3847</v>
      </c>
      <c r="AG217" s="5" t="s">
        <v>3823</v>
      </c>
      <c r="AH217" s="5" t="s">
        <v>3848</v>
      </c>
      <c r="AI217" s="4">
        <v>1</v>
      </c>
      <c r="AJ217" s="4" t="s">
        <v>3824</v>
      </c>
      <c r="AK217" s="4" t="s">
        <v>121</v>
      </c>
      <c r="AL217" s="4" t="s">
        <v>3027</v>
      </c>
      <c r="AM217" s="69">
        <v>43858</v>
      </c>
      <c r="AN217" s="4" t="s">
        <v>122</v>
      </c>
      <c r="AO217" s="4" t="s">
        <v>109</v>
      </c>
      <c r="AP217" s="217" t="s">
        <v>109</v>
      </c>
      <c r="AQ217" s="4" t="b">
        <v>0</v>
      </c>
      <c r="AR217" s="4" t="s">
        <v>109</v>
      </c>
      <c r="AS217" s="4" t="s">
        <v>109</v>
      </c>
      <c r="AT217" s="4" t="s">
        <v>109</v>
      </c>
      <c r="AU217" s="4" t="b">
        <v>0</v>
      </c>
      <c r="AV217" s="4" t="s">
        <v>109</v>
      </c>
      <c r="AW217" s="4" t="s">
        <v>109</v>
      </c>
      <c r="AY217" s="4" t="s">
        <v>109</v>
      </c>
      <c r="AZ217" s="4" t="s">
        <v>109</v>
      </c>
      <c r="BA217" s="4" t="s">
        <v>109</v>
      </c>
      <c r="BB217" s="4" t="s">
        <v>109</v>
      </c>
      <c r="BC217" s="4" t="s">
        <v>135</v>
      </c>
      <c r="BD217" s="4" t="s">
        <v>109</v>
      </c>
      <c r="BE217" s="4" t="s">
        <v>109</v>
      </c>
      <c r="BF217" s="4" t="s">
        <v>109</v>
      </c>
      <c r="BG217" s="4" t="s">
        <v>1146</v>
      </c>
      <c r="BH217" s="4" t="s">
        <v>109</v>
      </c>
      <c r="BI217" s="75">
        <v>44104</v>
      </c>
      <c r="BJ217" s="69">
        <v>44348</v>
      </c>
      <c r="BK217" s="75">
        <v>44642</v>
      </c>
      <c r="BL217" s="97" t="s">
        <v>109</v>
      </c>
      <c r="BM217" s="97" t="s">
        <v>109</v>
      </c>
      <c r="BN217" s="4" t="b">
        <v>1</v>
      </c>
      <c r="BO217" s="130" t="s">
        <v>118</v>
      </c>
      <c r="BP217" s="4" t="s">
        <v>128</v>
      </c>
      <c r="CF217" s="4" t="s">
        <v>270</v>
      </c>
      <c r="CS217" s="143" t="s">
        <v>3221</v>
      </c>
      <c r="CU217" s="216" t="s">
        <v>3187</v>
      </c>
      <c r="CW217" s="4" t="s">
        <v>3849</v>
      </c>
      <c r="CX217" s="39"/>
    </row>
    <row r="218" spans="1:102" ht="66" x14ac:dyDescent="0.3">
      <c r="A218" s="2">
        <v>251</v>
      </c>
      <c r="B218" s="43" t="s">
        <v>1622</v>
      </c>
      <c r="C218" s="51">
        <v>32.956000000000003</v>
      </c>
      <c r="D218" s="51">
        <v>-116.938</v>
      </c>
      <c r="E218" s="2" t="s">
        <v>1616</v>
      </c>
      <c r="F218" s="47" t="s">
        <v>1623</v>
      </c>
      <c r="G218" s="67" t="s">
        <v>233</v>
      </c>
      <c r="H218" s="67" t="s">
        <v>112</v>
      </c>
      <c r="I218" s="67" t="s">
        <v>112</v>
      </c>
      <c r="J218" s="67" t="s">
        <v>109</v>
      </c>
      <c r="K218" s="67" t="s">
        <v>114</v>
      </c>
      <c r="L218" s="67" t="s">
        <v>207</v>
      </c>
      <c r="M218" s="67" t="s">
        <v>109</v>
      </c>
      <c r="N218" s="67" t="s">
        <v>109</v>
      </c>
      <c r="O218" s="74">
        <v>45300.5</v>
      </c>
      <c r="Q218" s="77">
        <v>27</v>
      </c>
      <c r="R218" s="67" t="s">
        <v>109</v>
      </c>
      <c r="S218" s="67" t="s">
        <v>109</v>
      </c>
      <c r="T218" s="67" t="s">
        <v>109</v>
      </c>
      <c r="U218" s="2" t="s">
        <v>310</v>
      </c>
      <c r="V218" s="2" t="s">
        <v>918</v>
      </c>
      <c r="W218" s="2" t="b">
        <v>0</v>
      </c>
      <c r="X218" s="2" t="s">
        <v>109</v>
      </c>
      <c r="Y218" s="2" t="s">
        <v>535</v>
      </c>
      <c r="AA218" s="2">
        <v>12.2</v>
      </c>
      <c r="AB218" s="2" t="s">
        <v>109</v>
      </c>
      <c r="AC218" s="2" t="s">
        <v>109</v>
      </c>
      <c r="AD218" s="2" t="s">
        <v>109</v>
      </c>
      <c r="AE218" s="2">
        <v>1.1000000000000001</v>
      </c>
      <c r="AF218" s="2" t="s">
        <v>3850</v>
      </c>
      <c r="AG218" s="3" t="s">
        <v>3823</v>
      </c>
      <c r="AH218" s="3" t="s">
        <v>3851</v>
      </c>
      <c r="AI218" s="2">
        <v>1</v>
      </c>
      <c r="AJ218" s="2" t="s">
        <v>3824</v>
      </c>
      <c r="AK218" s="2" t="s">
        <v>121</v>
      </c>
      <c r="AL218" s="2" t="s">
        <v>3027</v>
      </c>
      <c r="AM218" s="68">
        <v>43858</v>
      </c>
      <c r="AN218" s="2" t="s">
        <v>122</v>
      </c>
      <c r="AO218" s="2" t="s">
        <v>109</v>
      </c>
      <c r="AP218" s="109" t="s">
        <v>109</v>
      </c>
      <c r="AQ218" s="2" t="b">
        <v>0</v>
      </c>
      <c r="AR218" s="2" t="s">
        <v>109</v>
      </c>
      <c r="AS218" s="2" t="s">
        <v>109</v>
      </c>
      <c r="AT218" s="2" t="s">
        <v>109</v>
      </c>
      <c r="AU218" s="2" t="b">
        <v>0</v>
      </c>
      <c r="AV218" s="2" t="s">
        <v>109</v>
      </c>
      <c r="AW218" s="2" t="s">
        <v>109</v>
      </c>
      <c r="AY218" s="2" t="s">
        <v>109</v>
      </c>
      <c r="AZ218" s="2" t="s">
        <v>109</v>
      </c>
      <c r="BA218" s="2" t="s">
        <v>109</v>
      </c>
      <c r="BB218" s="2" t="s">
        <v>109</v>
      </c>
      <c r="BC218" s="2" t="s">
        <v>135</v>
      </c>
      <c r="BD218" s="2" t="s">
        <v>109</v>
      </c>
      <c r="BE218" s="2" t="s">
        <v>109</v>
      </c>
      <c r="BF218" s="2" t="s">
        <v>109</v>
      </c>
      <c r="BG218" s="2" t="s">
        <v>1146</v>
      </c>
      <c r="BH218" s="2" t="s">
        <v>109</v>
      </c>
      <c r="BI218" s="76">
        <v>44104</v>
      </c>
      <c r="BJ218" s="68">
        <v>44348</v>
      </c>
      <c r="BK218" s="76">
        <v>44609</v>
      </c>
      <c r="BL218" s="98" t="s">
        <v>109</v>
      </c>
      <c r="BM218" s="98" t="s">
        <v>109</v>
      </c>
      <c r="BN218" s="2" t="b">
        <v>1</v>
      </c>
      <c r="BO218" s="85" t="s">
        <v>118</v>
      </c>
      <c r="BP218" s="2" t="s">
        <v>128</v>
      </c>
      <c r="CF218" s="2" t="s">
        <v>270</v>
      </c>
      <c r="CS218" s="142" t="s">
        <v>3221</v>
      </c>
      <c r="CU218" s="132" t="s">
        <v>3187</v>
      </c>
      <c r="CW218" s="2" t="s">
        <v>3852</v>
      </c>
      <c r="CX218" s="38"/>
    </row>
    <row r="219" spans="1:102" ht="66" x14ac:dyDescent="0.3">
      <c r="A219" s="4">
        <v>252</v>
      </c>
      <c r="B219" s="44" t="s">
        <v>1627</v>
      </c>
      <c r="C219" s="53">
        <v>32.938000000000002</v>
      </c>
      <c r="D219" s="53">
        <v>-117.17</v>
      </c>
      <c r="E219" s="4" t="s">
        <v>329</v>
      </c>
      <c r="F219" s="46" t="s">
        <v>1628</v>
      </c>
      <c r="G219" s="64" t="s">
        <v>233</v>
      </c>
      <c r="H219" s="64" t="s">
        <v>112</v>
      </c>
      <c r="I219" s="64" t="s">
        <v>112</v>
      </c>
      <c r="J219" s="64" t="s">
        <v>109</v>
      </c>
      <c r="K219" s="64" t="s">
        <v>114</v>
      </c>
      <c r="L219" s="64" t="s">
        <v>207</v>
      </c>
      <c r="M219" s="64" t="s">
        <v>109</v>
      </c>
      <c r="N219" s="64" t="s">
        <v>109</v>
      </c>
      <c r="O219" s="66">
        <v>45307.5</v>
      </c>
      <c r="Q219" s="6" t="s">
        <v>109</v>
      </c>
      <c r="R219" s="64" t="s">
        <v>109</v>
      </c>
      <c r="S219" s="64" t="s">
        <v>109</v>
      </c>
      <c r="T219" s="64" t="s">
        <v>109</v>
      </c>
      <c r="U219" s="4" t="s">
        <v>404</v>
      </c>
      <c r="V219" s="4" t="s">
        <v>918</v>
      </c>
      <c r="W219" s="4" t="b">
        <v>0</v>
      </c>
      <c r="X219" s="4" t="s">
        <v>109</v>
      </c>
      <c r="Y219" s="4" t="s">
        <v>535</v>
      </c>
      <c r="AA219" s="4">
        <v>4.8099999999999996</v>
      </c>
      <c r="AB219" s="4" t="s">
        <v>109</v>
      </c>
      <c r="AC219" s="4" t="s">
        <v>109</v>
      </c>
      <c r="AD219" s="4" t="s">
        <v>109</v>
      </c>
      <c r="AE219" s="4">
        <v>1.1000000000000001</v>
      </c>
      <c r="AF219" s="4" t="s">
        <v>3853</v>
      </c>
      <c r="AG219" s="5" t="s">
        <v>3823</v>
      </c>
      <c r="AH219" s="5" t="s">
        <v>3854</v>
      </c>
      <c r="AI219" s="4">
        <v>1</v>
      </c>
      <c r="AJ219" s="4" t="s">
        <v>3824</v>
      </c>
      <c r="AK219" s="4" t="s">
        <v>121</v>
      </c>
      <c r="AL219" s="4" t="s">
        <v>3027</v>
      </c>
      <c r="AM219" s="69">
        <v>43671</v>
      </c>
      <c r="AN219" s="4" t="s">
        <v>122</v>
      </c>
      <c r="AO219" s="4" t="s">
        <v>109</v>
      </c>
      <c r="AP219" s="217" t="s">
        <v>109</v>
      </c>
      <c r="AQ219" s="4" t="b">
        <v>0</v>
      </c>
      <c r="AR219" s="4" t="s">
        <v>109</v>
      </c>
      <c r="AS219" s="4" t="s">
        <v>109</v>
      </c>
      <c r="AT219" s="4" t="s">
        <v>109</v>
      </c>
      <c r="AU219" s="4" t="b">
        <v>0</v>
      </c>
      <c r="AV219" s="4" t="s">
        <v>109</v>
      </c>
      <c r="AW219" s="4" t="s">
        <v>109</v>
      </c>
      <c r="AY219" s="4" t="s">
        <v>109</v>
      </c>
      <c r="AZ219" s="4" t="s">
        <v>109</v>
      </c>
      <c r="BA219" s="4" t="s">
        <v>109</v>
      </c>
      <c r="BB219" s="4" t="s">
        <v>109</v>
      </c>
      <c r="BC219" s="4" t="s">
        <v>135</v>
      </c>
      <c r="BD219" s="4" t="s">
        <v>109</v>
      </c>
      <c r="BE219" s="4" t="s">
        <v>109</v>
      </c>
      <c r="BF219" s="4" t="s">
        <v>109</v>
      </c>
      <c r="BG219" s="4" t="s">
        <v>425</v>
      </c>
      <c r="BH219" s="4" t="s">
        <v>109</v>
      </c>
      <c r="BI219" s="75">
        <v>45604</v>
      </c>
      <c r="BJ219" s="69">
        <v>44166</v>
      </c>
      <c r="BK219" s="75">
        <v>45915</v>
      </c>
      <c r="BL219" s="97" t="s">
        <v>109</v>
      </c>
      <c r="BM219" s="97" t="s">
        <v>109</v>
      </c>
      <c r="BN219" s="6" t="b">
        <v>1</v>
      </c>
      <c r="BO219" s="130" t="s">
        <v>118</v>
      </c>
      <c r="BP219" s="4" t="s">
        <v>128</v>
      </c>
      <c r="CF219" s="4">
        <v>2025</v>
      </c>
      <c r="CS219" s="143" t="s">
        <v>3221</v>
      </c>
      <c r="CU219" s="216" t="s">
        <v>3187</v>
      </c>
      <c r="CW219" s="4" t="s">
        <v>3855</v>
      </c>
      <c r="CX219" s="39"/>
    </row>
    <row r="220" spans="1:102" ht="66" x14ac:dyDescent="0.3">
      <c r="A220" s="2">
        <v>253</v>
      </c>
      <c r="B220" s="43" t="s">
        <v>1631</v>
      </c>
      <c r="C220" s="51">
        <v>32.81</v>
      </c>
      <c r="D220" s="51">
        <v>-116.789</v>
      </c>
      <c r="E220" s="2" t="s">
        <v>1632</v>
      </c>
      <c r="F220" s="47" t="s">
        <v>1633</v>
      </c>
      <c r="G220" s="67" t="s">
        <v>233</v>
      </c>
      <c r="H220" s="67" t="s">
        <v>112</v>
      </c>
      <c r="I220" s="67" t="s">
        <v>112</v>
      </c>
      <c r="J220" s="67" t="s">
        <v>109</v>
      </c>
      <c r="K220" s="67" t="s">
        <v>114</v>
      </c>
      <c r="L220" s="67" t="s">
        <v>207</v>
      </c>
      <c r="M220" s="67" t="s">
        <v>109</v>
      </c>
      <c r="N220" s="67" t="s">
        <v>109</v>
      </c>
      <c r="O220" s="74">
        <v>45356.5</v>
      </c>
      <c r="Q220" s="7" t="s">
        <v>1634</v>
      </c>
      <c r="R220" s="67" t="s">
        <v>109</v>
      </c>
      <c r="S220" s="67" t="s">
        <v>109</v>
      </c>
      <c r="T220" s="67" t="s">
        <v>109</v>
      </c>
      <c r="U220" s="2" t="s">
        <v>310</v>
      </c>
      <c r="V220" s="2" t="s">
        <v>918</v>
      </c>
      <c r="W220" s="2" t="b">
        <v>0</v>
      </c>
      <c r="X220" s="2" t="s">
        <v>109</v>
      </c>
      <c r="Y220" s="2" t="s">
        <v>535</v>
      </c>
      <c r="AA220" s="2">
        <v>0.5</v>
      </c>
      <c r="AB220" s="2" t="s">
        <v>109</v>
      </c>
      <c r="AC220" s="2" t="s">
        <v>109</v>
      </c>
      <c r="AD220" s="2" t="s">
        <v>109</v>
      </c>
      <c r="AE220" s="2">
        <v>1.1000000000000001</v>
      </c>
      <c r="AF220" s="2" t="s">
        <v>3856</v>
      </c>
      <c r="AG220" s="3" t="s">
        <v>3823</v>
      </c>
      <c r="AH220" s="3" t="s">
        <v>3857</v>
      </c>
      <c r="AI220" s="2">
        <v>1</v>
      </c>
      <c r="AJ220" s="2" t="s">
        <v>3824</v>
      </c>
      <c r="AK220" s="2" t="s">
        <v>121</v>
      </c>
      <c r="AL220" s="2" t="s">
        <v>3027</v>
      </c>
      <c r="AM220" s="68">
        <v>43838</v>
      </c>
      <c r="AN220" s="2" t="s">
        <v>122</v>
      </c>
      <c r="AO220" s="2" t="s">
        <v>109</v>
      </c>
      <c r="AP220" s="109" t="s">
        <v>109</v>
      </c>
      <c r="AQ220" s="2" t="b">
        <v>0</v>
      </c>
      <c r="AR220" s="2" t="s">
        <v>109</v>
      </c>
      <c r="AS220" s="2" t="s">
        <v>109</v>
      </c>
      <c r="AT220" s="2" t="s">
        <v>109</v>
      </c>
      <c r="AU220" s="2" t="b">
        <v>0</v>
      </c>
      <c r="AV220" s="2" t="s">
        <v>109</v>
      </c>
      <c r="AW220" s="2" t="s">
        <v>109</v>
      </c>
      <c r="AY220" s="2" t="s">
        <v>109</v>
      </c>
      <c r="AZ220" s="2" t="s">
        <v>109</v>
      </c>
      <c r="BA220" s="2" t="s">
        <v>109</v>
      </c>
      <c r="BB220" s="2" t="s">
        <v>109</v>
      </c>
      <c r="BC220" s="2" t="s">
        <v>135</v>
      </c>
      <c r="BD220" s="2" t="s">
        <v>109</v>
      </c>
      <c r="BE220" s="2" t="s">
        <v>109</v>
      </c>
      <c r="BF220" s="2" t="s">
        <v>109</v>
      </c>
      <c r="BG220" s="2" t="s">
        <v>126</v>
      </c>
      <c r="BH220" s="2" t="s">
        <v>109</v>
      </c>
      <c r="BI220" s="76">
        <v>45096</v>
      </c>
      <c r="BJ220" s="68">
        <v>44793</v>
      </c>
      <c r="BK220" s="76">
        <v>45245</v>
      </c>
      <c r="BL220" s="98" t="s">
        <v>109</v>
      </c>
      <c r="BM220" s="98" t="s">
        <v>109</v>
      </c>
      <c r="BN220" s="2" t="b">
        <v>1</v>
      </c>
      <c r="BO220" s="85" t="s">
        <v>118</v>
      </c>
      <c r="BP220" s="2" t="s">
        <v>128</v>
      </c>
      <c r="CF220" s="2" t="s">
        <v>174</v>
      </c>
      <c r="CS220" s="142" t="s">
        <v>3221</v>
      </c>
      <c r="CU220" s="132" t="s">
        <v>3187</v>
      </c>
      <c r="CW220" s="2" t="s">
        <v>3858</v>
      </c>
      <c r="CX220" s="41"/>
    </row>
    <row r="221" spans="1:102" ht="27" x14ac:dyDescent="0.3">
      <c r="A221" s="4">
        <v>254</v>
      </c>
      <c r="B221" s="44" t="s">
        <v>1641</v>
      </c>
      <c r="C221" s="4">
        <v>-117.02500000000001</v>
      </c>
      <c r="D221" s="4">
        <v>32.874000000000002</v>
      </c>
      <c r="E221" s="4" t="s">
        <v>1642</v>
      </c>
      <c r="F221" s="46" t="s">
        <v>1643</v>
      </c>
      <c r="G221" s="64" t="s">
        <v>233</v>
      </c>
      <c r="H221" s="64" t="s">
        <v>113</v>
      </c>
      <c r="I221" s="64" t="s">
        <v>113</v>
      </c>
      <c r="J221" s="64" t="s">
        <v>109</v>
      </c>
      <c r="K221" s="64" t="s">
        <v>114</v>
      </c>
      <c r="L221" s="64" t="s">
        <v>207</v>
      </c>
      <c r="M221" s="64" t="s">
        <v>109</v>
      </c>
      <c r="N221" s="64" t="s">
        <v>109</v>
      </c>
      <c r="O221" s="66">
        <v>45605</v>
      </c>
      <c r="Q221" s="6" t="s">
        <v>109</v>
      </c>
      <c r="R221" s="64" t="s">
        <v>109</v>
      </c>
      <c r="S221" s="64" t="s">
        <v>109</v>
      </c>
      <c r="T221" s="64" t="s">
        <v>109</v>
      </c>
      <c r="U221" s="4" t="s">
        <v>404</v>
      </c>
      <c r="V221" s="4" t="s">
        <v>918</v>
      </c>
      <c r="W221" s="4" t="b">
        <v>0</v>
      </c>
      <c r="X221" s="4" t="s">
        <v>123</v>
      </c>
      <c r="Y221" s="4" t="s">
        <v>535</v>
      </c>
      <c r="AA221" s="4">
        <v>39.57</v>
      </c>
      <c r="AB221" s="4" t="s">
        <v>109</v>
      </c>
      <c r="AC221" s="4" t="s">
        <v>109</v>
      </c>
      <c r="AD221" s="4" t="s">
        <v>109</v>
      </c>
      <c r="AE221" s="4">
        <v>1.1000000000000001</v>
      </c>
      <c r="AF221" s="4" t="s">
        <v>3859</v>
      </c>
      <c r="AG221" s="5" t="s">
        <v>3823</v>
      </c>
      <c r="AH221" s="5" t="s">
        <v>3860</v>
      </c>
      <c r="AI221" s="4">
        <v>1</v>
      </c>
      <c r="AJ221" s="4" t="s">
        <v>3824</v>
      </c>
      <c r="AK221" s="4" t="s">
        <v>121</v>
      </c>
      <c r="AL221" s="4" t="s">
        <v>3027</v>
      </c>
      <c r="AM221" s="69">
        <v>44937</v>
      </c>
      <c r="AN221" s="4" t="s">
        <v>122</v>
      </c>
      <c r="AO221" s="4">
        <v>2023</v>
      </c>
      <c r="AP221" s="217" t="s">
        <v>109</v>
      </c>
      <c r="AQ221" s="4" t="b">
        <v>0</v>
      </c>
      <c r="AR221" s="4" t="s">
        <v>109</v>
      </c>
      <c r="AS221" s="4" t="s">
        <v>109</v>
      </c>
      <c r="AT221" s="4" t="s">
        <v>109</v>
      </c>
      <c r="AU221" s="4" t="b">
        <v>0</v>
      </c>
      <c r="AV221" s="4" t="s">
        <v>123</v>
      </c>
      <c r="AW221" s="4" t="s">
        <v>118</v>
      </c>
      <c r="AY221" s="4" t="s">
        <v>109</v>
      </c>
      <c r="AZ221" s="4" t="s">
        <v>109</v>
      </c>
      <c r="BA221" s="4" t="s">
        <v>226</v>
      </c>
      <c r="BB221" s="4" t="s">
        <v>118</v>
      </c>
      <c r="BC221" s="4" t="s">
        <v>135</v>
      </c>
      <c r="BD221" s="4" t="s">
        <v>109</v>
      </c>
      <c r="BE221" s="6" t="s">
        <v>109</v>
      </c>
      <c r="BF221" s="4" t="s">
        <v>109</v>
      </c>
      <c r="BG221" s="4" t="s">
        <v>425</v>
      </c>
      <c r="BH221" s="4" t="s">
        <v>109</v>
      </c>
      <c r="BI221" s="75">
        <v>46168</v>
      </c>
      <c r="BJ221" s="69">
        <v>45992</v>
      </c>
      <c r="BK221" s="75">
        <v>46589</v>
      </c>
      <c r="BL221" s="64" t="s">
        <v>109</v>
      </c>
      <c r="BM221" s="64" t="s">
        <v>109</v>
      </c>
      <c r="BN221" s="6" t="b">
        <v>1</v>
      </c>
      <c r="BO221" s="130" t="s">
        <v>118</v>
      </c>
      <c r="BP221" s="4" t="s">
        <v>128</v>
      </c>
      <c r="CF221" s="4">
        <v>2025</v>
      </c>
      <c r="CS221" s="143"/>
      <c r="CU221" s="216" t="s">
        <v>3187</v>
      </c>
      <c r="CW221" s="4" t="s">
        <v>3861</v>
      </c>
      <c r="CX221" s="221" t="s">
        <v>3162</v>
      </c>
    </row>
    <row r="222" spans="1:102" ht="27" x14ac:dyDescent="0.3">
      <c r="A222" s="2">
        <v>255</v>
      </c>
      <c r="B222" s="43" t="s">
        <v>1647</v>
      </c>
      <c r="C222" s="2">
        <v>-117.426</v>
      </c>
      <c r="D222" s="2">
        <v>33.308</v>
      </c>
      <c r="E222" s="2" t="s">
        <v>1648</v>
      </c>
      <c r="F222" s="47" t="s">
        <v>1649</v>
      </c>
      <c r="G222" s="67" t="s">
        <v>233</v>
      </c>
      <c r="H222" s="67" t="s">
        <v>146</v>
      </c>
      <c r="I222" s="67" t="s">
        <v>113</v>
      </c>
      <c r="J222" s="67" t="s">
        <v>109</v>
      </c>
      <c r="K222" s="67" t="s">
        <v>114</v>
      </c>
      <c r="L222" s="67" t="s">
        <v>207</v>
      </c>
      <c r="M222" s="67" t="s">
        <v>109</v>
      </c>
      <c r="N222" s="67" t="s">
        <v>109</v>
      </c>
      <c r="O222" s="74">
        <v>45325.5</v>
      </c>
      <c r="Q222" s="7" t="s">
        <v>109</v>
      </c>
      <c r="R222" s="67" t="s">
        <v>109</v>
      </c>
      <c r="S222" s="67" t="s">
        <v>109</v>
      </c>
      <c r="T222" s="67" t="s">
        <v>109</v>
      </c>
      <c r="U222" s="2" t="s">
        <v>404</v>
      </c>
      <c r="V222" s="2" t="s">
        <v>918</v>
      </c>
      <c r="W222" s="2" t="b">
        <v>0</v>
      </c>
      <c r="X222" s="2" t="s">
        <v>123</v>
      </c>
      <c r="Y222" s="2" t="s">
        <v>535</v>
      </c>
      <c r="AA222" s="2">
        <v>17.739999999999998</v>
      </c>
      <c r="AB222" s="2" t="s">
        <v>109</v>
      </c>
      <c r="AC222" s="2" t="s">
        <v>109</v>
      </c>
      <c r="AD222" s="2" t="s">
        <v>109</v>
      </c>
      <c r="AE222" s="2">
        <v>1.1000000000000001</v>
      </c>
      <c r="AF222" s="2" t="s">
        <v>3862</v>
      </c>
      <c r="AG222" s="3" t="s">
        <v>3823</v>
      </c>
      <c r="AH222" s="3" t="s">
        <v>3863</v>
      </c>
      <c r="AI222" s="2">
        <v>1</v>
      </c>
      <c r="AJ222" s="2" t="s">
        <v>3824</v>
      </c>
      <c r="AK222" s="2" t="s">
        <v>121</v>
      </c>
      <c r="AL222" s="2" t="s">
        <v>3027</v>
      </c>
      <c r="AM222" s="68">
        <v>45105</v>
      </c>
      <c r="AN222" s="2" t="s">
        <v>122</v>
      </c>
      <c r="AO222" s="2">
        <v>2024</v>
      </c>
      <c r="AP222" s="109" t="s">
        <v>109</v>
      </c>
      <c r="AQ222" s="2" t="b">
        <v>0</v>
      </c>
      <c r="AR222" s="2" t="s">
        <v>109</v>
      </c>
      <c r="AS222" s="2" t="s">
        <v>109</v>
      </c>
      <c r="AT222" s="2" t="s">
        <v>109</v>
      </c>
      <c r="AU222" s="2" t="b">
        <v>0</v>
      </c>
      <c r="AV222" s="2" t="s">
        <v>123</v>
      </c>
      <c r="AW222" s="2" t="s">
        <v>118</v>
      </c>
      <c r="AY222" s="2" t="s">
        <v>109</v>
      </c>
      <c r="AZ222" s="2" t="s">
        <v>109</v>
      </c>
      <c r="BA222" s="2" t="s">
        <v>226</v>
      </c>
      <c r="BB222" s="2" t="s">
        <v>118</v>
      </c>
      <c r="BC222" s="2" t="s">
        <v>135</v>
      </c>
      <c r="BD222" s="2" t="s">
        <v>109</v>
      </c>
      <c r="BE222" s="7" t="s">
        <v>109</v>
      </c>
      <c r="BF222" s="2" t="s">
        <v>109</v>
      </c>
      <c r="BG222" s="2" t="s">
        <v>546</v>
      </c>
      <c r="BH222" s="2" t="s">
        <v>109</v>
      </c>
      <c r="BI222" s="76">
        <v>45972</v>
      </c>
      <c r="BJ222" s="68">
        <v>46507</v>
      </c>
      <c r="BK222" s="76">
        <v>46470</v>
      </c>
      <c r="BL222" s="67" t="s">
        <v>109</v>
      </c>
      <c r="BM222" s="67" t="s">
        <v>109</v>
      </c>
      <c r="BN222" s="98" t="b">
        <v>0</v>
      </c>
      <c r="BO222" s="85" t="s">
        <v>118</v>
      </c>
      <c r="BP222" s="2" t="s">
        <v>128</v>
      </c>
      <c r="CF222" s="2" t="s">
        <v>109</v>
      </c>
      <c r="CS222" s="142"/>
      <c r="CU222" s="132" t="s">
        <v>3187</v>
      </c>
      <c r="CW222" s="2" t="s">
        <v>3864</v>
      </c>
      <c r="CX222" s="220" t="s">
        <v>3162</v>
      </c>
    </row>
    <row r="223" spans="1:102" ht="27" x14ac:dyDescent="0.3">
      <c r="A223" s="4">
        <v>256</v>
      </c>
      <c r="B223" s="44" t="s">
        <v>1653</v>
      </c>
      <c r="C223" s="4">
        <v>-117.426</v>
      </c>
      <c r="D223" s="4">
        <v>33.308</v>
      </c>
      <c r="E223" s="4" t="s">
        <v>1648</v>
      </c>
      <c r="F223" s="46" t="s">
        <v>1649</v>
      </c>
      <c r="G223" s="64" t="s">
        <v>233</v>
      </c>
      <c r="H223" s="64" t="s">
        <v>146</v>
      </c>
      <c r="I223" s="64" t="s">
        <v>113</v>
      </c>
      <c r="J223" s="64" t="s">
        <v>109</v>
      </c>
      <c r="K223" s="64" t="s">
        <v>114</v>
      </c>
      <c r="L223" s="64" t="s">
        <v>207</v>
      </c>
      <c r="M223" s="64" t="s">
        <v>109</v>
      </c>
      <c r="N223" s="64" t="s">
        <v>109</v>
      </c>
      <c r="O223" s="66">
        <v>45325.5</v>
      </c>
      <c r="Q223" s="6" t="s">
        <v>109</v>
      </c>
      <c r="R223" s="64" t="s">
        <v>109</v>
      </c>
      <c r="S223" s="64" t="s">
        <v>109</v>
      </c>
      <c r="T223" s="64" t="s">
        <v>109</v>
      </c>
      <c r="U223" s="4" t="s">
        <v>404</v>
      </c>
      <c r="V223" s="4" t="s">
        <v>918</v>
      </c>
      <c r="W223" s="4" t="b">
        <v>0</v>
      </c>
      <c r="X223" s="4" t="s">
        <v>123</v>
      </c>
      <c r="Y223" s="4" t="s">
        <v>535</v>
      </c>
      <c r="AA223" s="4">
        <v>17.739999999999998</v>
      </c>
      <c r="AB223" s="4" t="s">
        <v>109</v>
      </c>
      <c r="AC223" s="4" t="s">
        <v>109</v>
      </c>
      <c r="AD223" s="4" t="s">
        <v>109</v>
      </c>
      <c r="AE223" s="4">
        <v>1.1000000000000001</v>
      </c>
      <c r="AF223" s="4" t="s">
        <v>3865</v>
      </c>
      <c r="AG223" s="5" t="s">
        <v>3823</v>
      </c>
      <c r="AH223" s="5" t="s">
        <v>3866</v>
      </c>
      <c r="AI223" s="4">
        <v>1</v>
      </c>
      <c r="AJ223" s="4" t="s">
        <v>3824</v>
      </c>
      <c r="AK223" s="4" t="s">
        <v>121</v>
      </c>
      <c r="AL223" s="4" t="s">
        <v>3027</v>
      </c>
      <c r="AM223" s="69">
        <v>45105</v>
      </c>
      <c r="AN223" s="4" t="s">
        <v>122</v>
      </c>
      <c r="AO223" s="4">
        <v>2024</v>
      </c>
      <c r="AP223" s="217" t="s">
        <v>109</v>
      </c>
      <c r="AQ223" s="4" t="b">
        <v>0</v>
      </c>
      <c r="AR223" s="4" t="s">
        <v>109</v>
      </c>
      <c r="AS223" s="4" t="s">
        <v>109</v>
      </c>
      <c r="AT223" s="4" t="s">
        <v>109</v>
      </c>
      <c r="AU223" s="4" t="b">
        <v>0</v>
      </c>
      <c r="AV223" s="4" t="s">
        <v>123</v>
      </c>
      <c r="AW223" s="4" t="s">
        <v>109</v>
      </c>
      <c r="AY223" s="4" t="s">
        <v>109</v>
      </c>
      <c r="AZ223" s="4" t="s">
        <v>109</v>
      </c>
      <c r="BA223" s="4" t="s">
        <v>226</v>
      </c>
      <c r="BB223" s="4" t="s">
        <v>118</v>
      </c>
      <c r="BC223" s="4" t="s">
        <v>135</v>
      </c>
      <c r="BD223" s="4" t="s">
        <v>109</v>
      </c>
      <c r="BE223" s="6" t="s">
        <v>109</v>
      </c>
      <c r="BF223" s="4" t="s">
        <v>109</v>
      </c>
      <c r="BG223" s="4" t="s">
        <v>546</v>
      </c>
      <c r="BH223" s="4" t="s">
        <v>109</v>
      </c>
      <c r="BI223" s="75">
        <v>45972</v>
      </c>
      <c r="BJ223" s="69">
        <v>46417</v>
      </c>
      <c r="BK223" s="75">
        <v>46444</v>
      </c>
      <c r="BL223" s="64" t="s">
        <v>109</v>
      </c>
      <c r="BM223" s="64" t="s">
        <v>109</v>
      </c>
      <c r="BN223" s="97" t="b">
        <v>0</v>
      </c>
      <c r="BO223" s="130" t="s">
        <v>118</v>
      </c>
      <c r="BP223" s="4" t="s">
        <v>128</v>
      </c>
      <c r="CF223" s="4" t="s">
        <v>109</v>
      </c>
      <c r="CS223" s="143"/>
      <c r="CU223" s="216" t="s">
        <v>3187</v>
      </c>
      <c r="CW223" s="4" t="s">
        <v>3867</v>
      </c>
      <c r="CX223" s="221" t="s">
        <v>3162</v>
      </c>
    </row>
    <row r="224" spans="1:102" ht="27" x14ac:dyDescent="0.3">
      <c r="A224" s="2">
        <v>257</v>
      </c>
      <c r="B224" s="43" t="s">
        <v>1657</v>
      </c>
      <c r="C224" s="2">
        <v>-117.57599999999999</v>
      </c>
      <c r="D224" s="2">
        <v>33.408000000000001</v>
      </c>
      <c r="E224" s="2" t="s">
        <v>1648</v>
      </c>
      <c r="F224" s="47" t="s">
        <v>1658</v>
      </c>
      <c r="G224" s="67" t="s">
        <v>233</v>
      </c>
      <c r="H224" s="67" t="s">
        <v>146</v>
      </c>
      <c r="I224" s="67" t="s">
        <v>113</v>
      </c>
      <c r="J224" s="67" t="s">
        <v>109</v>
      </c>
      <c r="K224" s="67" t="s">
        <v>114</v>
      </c>
      <c r="L224" s="67" t="s">
        <v>207</v>
      </c>
      <c r="M224" s="67" t="s">
        <v>109</v>
      </c>
      <c r="N224" s="67" t="s">
        <v>109</v>
      </c>
      <c r="O224" s="74">
        <v>45325</v>
      </c>
      <c r="Q224" s="7" t="s">
        <v>109</v>
      </c>
      <c r="R224" s="67" t="s">
        <v>109</v>
      </c>
      <c r="S224" s="67" t="s">
        <v>109</v>
      </c>
      <c r="T224" s="67" t="s">
        <v>109</v>
      </c>
      <c r="U224" s="2" t="s">
        <v>404</v>
      </c>
      <c r="V224" s="2" t="s">
        <v>918</v>
      </c>
      <c r="W224" s="2" t="b">
        <v>0</v>
      </c>
      <c r="X224" s="2" t="s">
        <v>123</v>
      </c>
      <c r="Y224" s="2" t="s">
        <v>535</v>
      </c>
      <c r="AA224" s="2">
        <v>8.23</v>
      </c>
      <c r="AB224" s="2" t="s">
        <v>109</v>
      </c>
      <c r="AC224" s="2" t="s">
        <v>109</v>
      </c>
      <c r="AD224" s="2" t="s">
        <v>109</v>
      </c>
      <c r="AE224" s="2">
        <v>1.1000000000000001</v>
      </c>
      <c r="AF224" s="2" t="s">
        <v>3868</v>
      </c>
      <c r="AG224" s="3" t="s">
        <v>3823</v>
      </c>
      <c r="AH224" s="3" t="s">
        <v>3869</v>
      </c>
      <c r="AI224" s="2">
        <v>1</v>
      </c>
      <c r="AJ224" s="2" t="s">
        <v>3824</v>
      </c>
      <c r="AK224" s="2" t="s">
        <v>121</v>
      </c>
      <c r="AL224" s="2" t="s">
        <v>3027</v>
      </c>
      <c r="AM224" s="68">
        <v>45105</v>
      </c>
      <c r="AN224" s="2" t="s">
        <v>122</v>
      </c>
      <c r="AO224" s="2">
        <v>2024</v>
      </c>
      <c r="AP224" s="109" t="s">
        <v>109</v>
      </c>
      <c r="AQ224" s="2" t="b">
        <v>0</v>
      </c>
      <c r="AR224" s="2" t="s">
        <v>109</v>
      </c>
      <c r="AS224" s="2" t="s">
        <v>109</v>
      </c>
      <c r="AT224" s="2" t="s">
        <v>109</v>
      </c>
      <c r="AU224" s="2" t="b">
        <v>0</v>
      </c>
      <c r="AV224" s="2" t="s">
        <v>123</v>
      </c>
      <c r="AW224" s="2" t="s">
        <v>118</v>
      </c>
      <c r="AY224" s="2" t="s">
        <v>109</v>
      </c>
      <c r="AZ224" s="2" t="s">
        <v>109</v>
      </c>
      <c r="BA224" s="2" t="s">
        <v>226</v>
      </c>
      <c r="BB224" s="2" t="s">
        <v>118</v>
      </c>
      <c r="BC224" s="2" t="s">
        <v>135</v>
      </c>
      <c r="BD224" s="2" t="s">
        <v>109</v>
      </c>
      <c r="BE224" s="7" t="s">
        <v>109</v>
      </c>
      <c r="BF224" s="2" t="s">
        <v>109</v>
      </c>
      <c r="BG224" s="2" t="s">
        <v>546</v>
      </c>
      <c r="BH224" s="2" t="s">
        <v>109</v>
      </c>
      <c r="BI224" s="76">
        <v>45811</v>
      </c>
      <c r="BJ224" s="68">
        <v>46341</v>
      </c>
      <c r="BK224" s="76">
        <v>46510</v>
      </c>
      <c r="BL224" s="67" t="s">
        <v>109</v>
      </c>
      <c r="BM224" s="67" t="s">
        <v>109</v>
      </c>
      <c r="BN224" s="98" t="b">
        <v>0</v>
      </c>
      <c r="BO224" s="85" t="s">
        <v>118</v>
      </c>
      <c r="BP224" s="2" t="s">
        <v>128</v>
      </c>
      <c r="CF224" s="2" t="s">
        <v>109</v>
      </c>
      <c r="CS224" s="142"/>
      <c r="CU224" s="132" t="s">
        <v>3187</v>
      </c>
      <c r="CW224" s="2" t="s">
        <v>3870</v>
      </c>
      <c r="CX224" s="220" t="s">
        <v>3162</v>
      </c>
    </row>
    <row r="225" spans="1:102" ht="27" x14ac:dyDescent="0.3">
      <c r="A225" s="4">
        <v>258</v>
      </c>
      <c r="B225" s="44" t="s">
        <v>1664</v>
      </c>
      <c r="C225" s="4">
        <v>-117.169</v>
      </c>
      <c r="D225" s="4">
        <v>32.93</v>
      </c>
      <c r="E225" s="4" t="s">
        <v>410</v>
      </c>
      <c r="F225" s="46" t="s">
        <v>1665</v>
      </c>
      <c r="G225" s="64" t="s">
        <v>233</v>
      </c>
      <c r="H225" s="64" t="s">
        <v>113</v>
      </c>
      <c r="I225" s="64" t="s">
        <v>113</v>
      </c>
      <c r="J225" s="64" t="s">
        <v>109</v>
      </c>
      <c r="K225" s="64" t="s">
        <v>114</v>
      </c>
      <c r="L225" s="64" t="s">
        <v>207</v>
      </c>
      <c r="M225" s="64" t="s">
        <v>109</v>
      </c>
      <c r="N225" s="64" t="s">
        <v>109</v>
      </c>
      <c r="O225" s="66">
        <v>45307.5</v>
      </c>
      <c r="Q225" s="6" t="s">
        <v>109</v>
      </c>
      <c r="R225" s="64" t="s">
        <v>109</v>
      </c>
      <c r="S225" s="64" t="s">
        <v>109</v>
      </c>
      <c r="T225" s="64" t="s">
        <v>109</v>
      </c>
      <c r="U225" s="4" t="s">
        <v>404</v>
      </c>
      <c r="V225" s="4" t="s">
        <v>918</v>
      </c>
      <c r="W225" s="4" t="b">
        <v>0</v>
      </c>
      <c r="X225" s="4" t="s">
        <v>123</v>
      </c>
      <c r="Y225" s="4" t="s">
        <v>535</v>
      </c>
      <c r="AA225" s="4">
        <v>41.64</v>
      </c>
      <c r="AB225" s="4" t="s">
        <v>109</v>
      </c>
      <c r="AC225" s="4" t="s">
        <v>109</v>
      </c>
      <c r="AD225" s="4" t="s">
        <v>109</v>
      </c>
      <c r="AE225" s="4">
        <v>1.1000000000000001</v>
      </c>
      <c r="AF225" s="4" t="s">
        <v>3871</v>
      </c>
      <c r="AG225" s="5" t="s">
        <v>3823</v>
      </c>
      <c r="AH225" s="5" t="s">
        <v>3872</v>
      </c>
      <c r="AI225" s="4">
        <v>1</v>
      </c>
      <c r="AJ225" s="4" t="s">
        <v>3824</v>
      </c>
      <c r="AK225" s="4" t="s">
        <v>121</v>
      </c>
      <c r="AL225" s="4" t="s">
        <v>3027</v>
      </c>
      <c r="AM225" s="69">
        <v>45084</v>
      </c>
      <c r="AN225" s="4" t="s">
        <v>122</v>
      </c>
      <c r="AO225" s="4">
        <v>2023</v>
      </c>
      <c r="AP225" s="217" t="s">
        <v>109</v>
      </c>
      <c r="AQ225" s="4" t="b">
        <v>0</v>
      </c>
      <c r="AR225" s="4" t="s">
        <v>109</v>
      </c>
      <c r="AS225" s="4" t="s">
        <v>109</v>
      </c>
      <c r="AT225" s="4" t="s">
        <v>109</v>
      </c>
      <c r="AU225" s="4" t="b">
        <v>0</v>
      </c>
      <c r="AV225" s="4" t="s">
        <v>123</v>
      </c>
      <c r="AW225" s="4" t="s">
        <v>118</v>
      </c>
      <c r="AY225" s="4" t="s">
        <v>109</v>
      </c>
      <c r="AZ225" s="4" t="s">
        <v>109</v>
      </c>
      <c r="BA225" s="4" t="s">
        <v>226</v>
      </c>
      <c r="BB225" s="4" t="s">
        <v>118</v>
      </c>
      <c r="BC225" s="4" t="s">
        <v>135</v>
      </c>
      <c r="BD225" s="4" t="s">
        <v>109</v>
      </c>
      <c r="BE225" s="6" t="s">
        <v>109</v>
      </c>
      <c r="BF225" s="4" t="s">
        <v>109</v>
      </c>
      <c r="BG225" s="4" t="s">
        <v>1146</v>
      </c>
      <c r="BH225" s="4" t="s">
        <v>109</v>
      </c>
      <c r="BI225" s="75">
        <v>46290</v>
      </c>
      <c r="BJ225" s="69">
        <v>46022</v>
      </c>
      <c r="BK225" s="75">
        <v>46524</v>
      </c>
      <c r="BL225" s="64" t="s">
        <v>109</v>
      </c>
      <c r="BM225" s="64" t="s">
        <v>109</v>
      </c>
      <c r="BN225" s="6" t="b">
        <v>1</v>
      </c>
      <c r="BO225" s="130" t="s">
        <v>118</v>
      </c>
      <c r="BP225" s="4" t="s">
        <v>128</v>
      </c>
      <c r="CF225" s="4">
        <v>2025</v>
      </c>
      <c r="CS225" s="143"/>
      <c r="CU225" s="216" t="s">
        <v>3187</v>
      </c>
      <c r="CW225" s="4" t="s">
        <v>3683</v>
      </c>
      <c r="CX225" s="221" t="s">
        <v>3162</v>
      </c>
    </row>
    <row r="226" spans="1:102" ht="27" x14ac:dyDescent="0.3">
      <c r="A226" s="2">
        <v>259</v>
      </c>
      <c r="B226" s="43" t="s">
        <v>1669</v>
      </c>
      <c r="C226" s="2">
        <v>-116.702</v>
      </c>
      <c r="D226" s="2">
        <v>33.18</v>
      </c>
      <c r="E226" s="2" t="s">
        <v>191</v>
      </c>
      <c r="F226" s="47" t="s">
        <v>1670</v>
      </c>
      <c r="G226" s="67" t="s">
        <v>233</v>
      </c>
      <c r="H226" s="67" t="s">
        <v>112</v>
      </c>
      <c r="I226" s="67" t="s">
        <v>112</v>
      </c>
      <c r="J226" s="67" t="s">
        <v>109</v>
      </c>
      <c r="K226" s="67" t="s">
        <v>114</v>
      </c>
      <c r="L226" s="67" t="s">
        <v>207</v>
      </c>
      <c r="M226" s="67" t="s">
        <v>109</v>
      </c>
      <c r="N226" s="67" t="s">
        <v>109</v>
      </c>
      <c r="O226" s="74">
        <v>45300.5</v>
      </c>
      <c r="Q226" s="7" t="s">
        <v>109</v>
      </c>
      <c r="R226" s="67" t="s">
        <v>109</v>
      </c>
      <c r="S226" s="67" t="s">
        <v>109</v>
      </c>
      <c r="T226" s="67" t="s">
        <v>109</v>
      </c>
      <c r="U226" s="2" t="s">
        <v>1671</v>
      </c>
      <c r="V226" s="2" t="s">
        <v>918</v>
      </c>
      <c r="W226" s="2" t="b">
        <v>0</v>
      </c>
      <c r="X226" s="2" t="s">
        <v>109</v>
      </c>
      <c r="Y226" s="2" t="s">
        <v>535</v>
      </c>
      <c r="AA226" s="2">
        <v>13.33</v>
      </c>
      <c r="AB226" s="2" t="s">
        <v>109</v>
      </c>
      <c r="AC226" s="2" t="s">
        <v>109</v>
      </c>
      <c r="AD226" s="2" t="s">
        <v>109</v>
      </c>
      <c r="AE226" s="2">
        <v>1.1000000000000001</v>
      </c>
      <c r="AF226" s="2" t="s">
        <v>3873</v>
      </c>
      <c r="AG226" s="3" t="s">
        <v>3823</v>
      </c>
      <c r="AH226" s="3" t="s">
        <v>3874</v>
      </c>
      <c r="AI226" s="2">
        <v>1</v>
      </c>
      <c r="AJ226" s="2" t="s">
        <v>3824</v>
      </c>
      <c r="AK226" s="2" t="s">
        <v>121</v>
      </c>
      <c r="AL226" s="2" t="s">
        <v>3027</v>
      </c>
      <c r="AM226" s="68">
        <v>43857</v>
      </c>
      <c r="AN226" s="2" t="s">
        <v>122</v>
      </c>
      <c r="AO226" s="2">
        <v>2019</v>
      </c>
      <c r="AP226" s="109" t="s">
        <v>109</v>
      </c>
      <c r="AQ226" s="2" t="b">
        <v>0</v>
      </c>
      <c r="AR226" s="2" t="s">
        <v>109</v>
      </c>
      <c r="AS226" s="2" t="s">
        <v>109</v>
      </c>
      <c r="AT226" s="2" t="s">
        <v>109</v>
      </c>
      <c r="AU226" s="2" t="b">
        <v>0</v>
      </c>
      <c r="AV226" s="2" t="s">
        <v>123</v>
      </c>
      <c r="AW226" s="2" t="s">
        <v>118</v>
      </c>
      <c r="AY226" s="2" t="s">
        <v>109</v>
      </c>
      <c r="AZ226" s="2" t="s">
        <v>109</v>
      </c>
      <c r="BA226" s="2" t="s">
        <v>109</v>
      </c>
      <c r="BB226" s="2" t="s">
        <v>118</v>
      </c>
      <c r="BC226" s="2" t="s">
        <v>135</v>
      </c>
      <c r="BD226" s="2" t="s">
        <v>109</v>
      </c>
      <c r="BE226" s="7" t="s">
        <v>109</v>
      </c>
      <c r="BF226" s="2" t="s">
        <v>109</v>
      </c>
      <c r="BG226" s="2" t="s">
        <v>126</v>
      </c>
      <c r="BH226" s="2" t="s">
        <v>109</v>
      </c>
      <c r="BI226" s="76">
        <v>43969</v>
      </c>
      <c r="BJ226" s="68">
        <v>44165</v>
      </c>
      <c r="BK226" s="76">
        <v>44832</v>
      </c>
      <c r="BL226" s="67" t="s">
        <v>109</v>
      </c>
      <c r="BM226" s="67" t="s">
        <v>109</v>
      </c>
      <c r="BN226" s="98" t="b">
        <v>0</v>
      </c>
      <c r="BO226" s="85" t="s">
        <v>118</v>
      </c>
      <c r="BP226" s="2" t="s">
        <v>128</v>
      </c>
      <c r="CF226" s="2" t="s">
        <v>1209</v>
      </c>
      <c r="CS226" s="145"/>
      <c r="CU226" s="132" t="s">
        <v>3187</v>
      </c>
      <c r="CW226" s="2" t="s">
        <v>3875</v>
      </c>
      <c r="CX226" s="220" t="s">
        <v>3162</v>
      </c>
    </row>
    <row r="227" spans="1:102" ht="27" x14ac:dyDescent="0.3">
      <c r="A227" s="4">
        <v>260</v>
      </c>
      <c r="B227" s="44" t="s">
        <v>1674</v>
      </c>
      <c r="C227" s="4">
        <v>-117.059</v>
      </c>
      <c r="D227" s="4">
        <v>33.267000000000003</v>
      </c>
      <c r="E227" s="4" t="s">
        <v>1675</v>
      </c>
      <c r="F227" s="46" t="s">
        <v>1676</v>
      </c>
      <c r="G227" s="64" t="s">
        <v>233</v>
      </c>
      <c r="H227" s="64" t="s">
        <v>112</v>
      </c>
      <c r="I227" s="64" t="s">
        <v>112</v>
      </c>
      <c r="J227" s="64" t="s">
        <v>109</v>
      </c>
      <c r="K227" s="64" t="s">
        <v>114</v>
      </c>
      <c r="L227" s="64" t="s">
        <v>207</v>
      </c>
      <c r="M227" s="64" t="s">
        <v>109</v>
      </c>
      <c r="N227" s="64" t="s">
        <v>109</v>
      </c>
      <c r="O227" s="66">
        <v>45335.5</v>
      </c>
      <c r="Q227" s="6" t="s">
        <v>1677</v>
      </c>
      <c r="R227" s="64" t="s">
        <v>109</v>
      </c>
      <c r="S227" s="64" t="s">
        <v>109</v>
      </c>
      <c r="T227" s="64" t="s">
        <v>109</v>
      </c>
      <c r="U227" s="4" t="s">
        <v>1671</v>
      </c>
      <c r="V227" s="4" t="s">
        <v>918</v>
      </c>
      <c r="W227" s="4" t="b">
        <v>0</v>
      </c>
      <c r="X227" s="4" t="s">
        <v>123</v>
      </c>
      <c r="Y227" s="4" t="s">
        <v>535</v>
      </c>
      <c r="AA227" s="4">
        <v>11.86</v>
      </c>
      <c r="AB227" s="4" t="s">
        <v>109</v>
      </c>
      <c r="AC227" s="4" t="s">
        <v>109</v>
      </c>
      <c r="AD227" s="4" t="s">
        <v>109</v>
      </c>
      <c r="AE227" s="4">
        <v>1.1000000000000001</v>
      </c>
      <c r="AF227" s="4" t="s">
        <v>3876</v>
      </c>
      <c r="AG227" s="5" t="s">
        <v>3823</v>
      </c>
      <c r="AH227" s="5" t="s">
        <v>3877</v>
      </c>
      <c r="AI227" s="4">
        <v>1</v>
      </c>
      <c r="AJ227" s="4" t="s">
        <v>3824</v>
      </c>
      <c r="AK227" s="4" t="s">
        <v>121</v>
      </c>
      <c r="AL227" s="4" t="s">
        <v>3027</v>
      </c>
      <c r="AM227" s="69">
        <v>43838</v>
      </c>
      <c r="AN227" s="4" t="s">
        <v>122</v>
      </c>
      <c r="AO227" s="4">
        <v>2020</v>
      </c>
      <c r="AP227" s="217" t="s">
        <v>109</v>
      </c>
      <c r="AQ227" s="4" t="b">
        <v>0</v>
      </c>
      <c r="AR227" s="4" t="s">
        <v>109</v>
      </c>
      <c r="AS227" s="4" t="s">
        <v>109</v>
      </c>
      <c r="AT227" s="4" t="s">
        <v>109</v>
      </c>
      <c r="AU227" s="4" t="b">
        <v>0</v>
      </c>
      <c r="AV227" s="4" t="s">
        <v>123</v>
      </c>
      <c r="AW227" s="4" t="s">
        <v>118</v>
      </c>
      <c r="AY227" s="4" t="s">
        <v>109</v>
      </c>
      <c r="AZ227" s="4" t="s">
        <v>109</v>
      </c>
      <c r="BA227" s="4" t="s">
        <v>226</v>
      </c>
      <c r="BB227" s="4" t="s">
        <v>118</v>
      </c>
      <c r="BC227" s="4" t="s">
        <v>135</v>
      </c>
      <c r="BD227" s="4" t="s">
        <v>109</v>
      </c>
      <c r="BE227" s="6" t="s">
        <v>109</v>
      </c>
      <c r="BF227" s="4" t="s">
        <v>109</v>
      </c>
      <c r="BG227" s="4" t="s">
        <v>425</v>
      </c>
      <c r="BH227" s="4" t="s">
        <v>109</v>
      </c>
      <c r="BI227" s="75">
        <v>44386</v>
      </c>
      <c r="BJ227" s="69">
        <v>44896</v>
      </c>
      <c r="BK227" s="75">
        <v>46139</v>
      </c>
      <c r="BL227" s="64" t="s">
        <v>109</v>
      </c>
      <c r="BM227" s="64" t="s">
        <v>109</v>
      </c>
      <c r="BN227" s="6" t="b">
        <v>1</v>
      </c>
      <c r="BO227" s="130" t="s">
        <v>118</v>
      </c>
      <c r="BP227" s="4" t="s">
        <v>128</v>
      </c>
      <c r="CF227" s="4">
        <v>2025</v>
      </c>
      <c r="CS227" s="144"/>
      <c r="CU227" s="216" t="s">
        <v>3187</v>
      </c>
      <c r="CW227" s="4" t="s">
        <v>3878</v>
      </c>
      <c r="CX227" s="221" t="s">
        <v>3162</v>
      </c>
    </row>
    <row r="228" spans="1:102" x14ac:dyDescent="0.3">
      <c r="A228" s="2">
        <v>261</v>
      </c>
      <c r="B228" s="109" t="s">
        <v>3879</v>
      </c>
      <c r="C228" s="55"/>
      <c r="D228" s="2"/>
      <c r="E228" s="2"/>
      <c r="F228" s="47"/>
      <c r="G228" s="67"/>
      <c r="H228" s="67"/>
      <c r="I228" s="67"/>
      <c r="J228" s="67"/>
      <c r="K228" s="67"/>
      <c r="L228" s="67"/>
      <c r="M228" s="67"/>
      <c r="N228" s="67"/>
      <c r="O228" s="67"/>
      <c r="Q228" s="67"/>
      <c r="R228" s="67"/>
      <c r="S228" s="67"/>
      <c r="T228" s="67"/>
      <c r="U228" s="86"/>
      <c r="V228" s="2"/>
      <c r="W228" s="2"/>
      <c r="X228" s="2"/>
      <c r="Y228" s="2" t="s">
        <v>535</v>
      </c>
      <c r="AA228" s="2"/>
      <c r="AB228" s="2"/>
      <c r="AC228" s="2"/>
      <c r="AD228" s="90"/>
      <c r="AE228" s="2"/>
      <c r="AF228" s="2" t="s">
        <v>3051</v>
      </c>
      <c r="AG228" s="3" t="s">
        <v>3823</v>
      </c>
      <c r="AH228" s="3" t="s">
        <v>3880</v>
      </c>
      <c r="AI228" s="2"/>
      <c r="AJ228" s="2" t="s">
        <v>3824</v>
      </c>
      <c r="AK228" s="2"/>
      <c r="AL228" s="2" t="s">
        <v>3053</v>
      </c>
      <c r="AM228" s="68"/>
      <c r="AN228" s="90"/>
      <c r="AO228" s="2"/>
      <c r="AP228" s="109"/>
      <c r="AQ228" s="2"/>
      <c r="AR228" s="2"/>
      <c r="AS228" s="2"/>
      <c r="AT228" s="2"/>
      <c r="AU228" s="90"/>
      <c r="AV228" s="2"/>
      <c r="AW228" s="2"/>
      <c r="AY228" s="2"/>
      <c r="AZ228" s="2"/>
      <c r="BA228" s="2"/>
      <c r="BB228" s="2"/>
      <c r="BC228" s="2"/>
      <c r="BD228" s="2"/>
      <c r="BE228" s="2"/>
      <c r="BF228" s="2"/>
      <c r="BG228" s="2"/>
      <c r="BH228" s="2"/>
      <c r="BI228" s="68"/>
      <c r="BJ228" s="68"/>
      <c r="BK228" s="68"/>
      <c r="BL228" s="98"/>
      <c r="BM228" s="2"/>
      <c r="BN228" s="2"/>
      <c r="BO228" s="90"/>
      <c r="BP228" s="2"/>
      <c r="CF228" s="2"/>
      <c r="CS228" s="146"/>
      <c r="CU228" s="132" t="s">
        <v>3187</v>
      </c>
      <c r="CW228" s="2" t="s">
        <v>3054</v>
      </c>
      <c r="CX228" s="38"/>
    </row>
    <row r="229" spans="1:102" x14ac:dyDescent="0.3">
      <c r="A229" s="4">
        <v>262</v>
      </c>
      <c r="B229" s="217" t="s">
        <v>3881</v>
      </c>
      <c r="C229" s="56"/>
      <c r="D229" s="4"/>
      <c r="E229" s="4"/>
      <c r="F229" s="46"/>
      <c r="G229" s="64"/>
      <c r="H229" s="64"/>
      <c r="I229" s="64"/>
      <c r="J229" s="64"/>
      <c r="K229" s="64"/>
      <c r="L229" s="64"/>
      <c r="M229" s="64"/>
      <c r="N229" s="64"/>
      <c r="O229" s="64"/>
      <c r="Q229" s="64"/>
      <c r="R229" s="64"/>
      <c r="S229" s="64"/>
      <c r="T229" s="64"/>
      <c r="U229" s="87"/>
      <c r="V229" s="4"/>
      <c r="W229" s="4"/>
      <c r="X229" s="4"/>
      <c r="Y229" s="4" t="s">
        <v>535</v>
      </c>
      <c r="AA229" s="4"/>
      <c r="AB229" s="4"/>
      <c r="AC229" s="4"/>
      <c r="AD229" s="91"/>
      <c r="AE229" s="4"/>
      <c r="AF229" s="4" t="s">
        <v>3882</v>
      </c>
      <c r="AG229" s="5" t="s">
        <v>3823</v>
      </c>
      <c r="AH229" s="5" t="s">
        <v>3883</v>
      </c>
      <c r="AI229" s="4"/>
      <c r="AJ229" s="4" t="s">
        <v>3824</v>
      </c>
      <c r="AK229" s="4"/>
      <c r="AL229" s="4" t="s">
        <v>3053</v>
      </c>
      <c r="AM229" s="69"/>
      <c r="AN229" s="91"/>
      <c r="AO229" s="4"/>
      <c r="AP229" s="217"/>
      <c r="AQ229" s="4"/>
      <c r="AR229" s="4"/>
      <c r="AS229" s="4"/>
      <c r="AT229" s="4"/>
      <c r="AU229" s="91"/>
      <c r="AV229" s="4"/>
      <c r="AW229" s="4"/>
      <c r="AY229" s="4"/>
      <c r="AZ229" s="4"/>
      <c r="BA229" s="4"/>
      <c r="BB229" s="4"/>
      <c r="BC229" s="4" t="s">
        <v>135</v>
      </c>
      <c r="BD229" s="4"/>
      <c r="BE229" s="4"/>
      <c r="BF229" s="4"/>
      <c r="BG229" s="4"/>
      <c r="BH229" s="4"/>
      <c r="BI229" s="69">
        <v>45544</v>
      </c>
      <c r="BJ229" s="69"/>
      <c r="BK229" s="69">
        <v>45798</v>
      </c>
      <c r="BL229" s="97"/>
      <c r="BM229" s="4"/>
      <c r="BN229" s="4"/>
      <c r="BO229" s="91"/>
      <c r="BP229" s="4"/>
      <c r="CF229" s="4"/>
      <c r="CS229" s="147"/>
      <c r="CU229" s="216" t="s">
        <v>3187</v>
      </c>
      <c r="CW229" s="4" t="s">
        <v>3054</v>
      </c>
      <c r="CX229" s="39"/>
    </row>
    <row r="230" spans="1:102" x14ac:dyDescent="0.3">
      <c r="A230" s="2">
        <v>263</v>
      </c>
      <c r="B230" s="109" t="s">
        <v>3884</v>
      </c>
      <c r="C230" s="55"/>
      <c r="D230" s="2"/>
      <c r="E230" s="2"/>
      <c r="F230" s="47"/>
      <c r="G230" s="67"/>
      <c r="H230" s="67"/>
      <c r="I230" s="67"/>
      <c r="J230" s="67"/>
      <c r="K230" s="67"/>
      <c r="L230" s="67"/>
      <c r="M230" s="67"/>
      <c r="N230" s="67"/>
      <c r="O230" s="67"/>
      <c r="Q230" s="67"/>
      <c r="R230" s="67"/>
      <c r="S230" s="67"/>
      <c r="T230" s="67"/>
      <c r="U230" s="86"/>
      <c r="V230" s="2"/>
      <c r="W230" s="2"/>
      <c r="X230" s="2"/>
      <c r="Y230" s="2" t="s">
        <v>535</v>
      </c>
      <c r="AA230" s="2"/>
      <c r="AB230" s="2"/>
      <c r="AC230" s="2"/>
      <c r="AD230" s="90"/>
      <c r="AE230" s="2"/>
      <c r="AF230" s="2" t="s">
        <v>3885</v>
      </c>
      <c r="AG230" s="3" t="s">
        <v>3823</v>
      </c>
      <c r="AH230" s="3" t="s">
        <v>3886</v>
      </c>
      <c r="AI230" s="2"/>
      <c r="AJ230" s="2" t="s">
        <v>3824</v>
      </c>
      <c r="AK230" s="2"/>
      <c r="AL230" s="2" t="s">
        <v>3053</v>
      </c>
      <c r="AM230" s="68"/>
      <c r="AN230" s="90"/>
      <c r="AO230" s="2"/>
      <c r="AP230" s="109"/>
      <c r="AQ230" s="2"/>
      <c r="AR230" s="2"/>
      <c r="AS230" s="2"/>
      <c r="AT230" s="2"/>
      <c r="AU230" s="90"/>
      <c r="AV230" s="2"/>
      <c r="AW230" s="2"/>
      <c r="AY230" s="2"/>
      <c r="AZ230" s="2"/>
      <c r="BA230" s="2"/>
      <c r="BB230" s="2"/>
      <c r="BC230" s="2" t="s">
        <v>135</v>
      </c>
      <c r="BD230" s="2"/>
      <c r="BE230" s="2"/>
      <c r="BF230" s="2"/>
      <c r="BG230" s="2"/>
      <c r="BH230" s="2"/>
      <c r="BI230" s="68">
        <v>45313</v>
      </c>
      <c r="BJ230" s="68"/>
      <c r="BK230" s="68">
        <v>46056</v>
      </c>
      <c r="BL230" s="98"/>
      <c r="BM230" s="2"/>
      <c r="BN230" s="2"/>
      <c r="BO230" s="90"/>
      <c r="BP230" s="2"/>
      <c r="CF230" s="2"/>
      <c r="CS230" s="146"/>
      <c r="CU230" s="132" t="s">
        <v>3187</v>
      </c>
      <c r="CW230" s="2" t="s">
        <v>3054</v>
      </c>
      <c r="CX230" s="41"/>
    </row>
    <row r="231" spans="1:102" x14ac:dyDescent="0.3">
      <c r="A231" s="4">
        <v>264</v>
      </c>
      <c r="B231" s="217" t="s">
        <v>3887</v>
      </c>
      <c r="C231" s="56"/>
      <c r="D231" s="4"/>
      <c r="E231" s="4"/>
      <c r="F231" s="46"/>
      <c r="G231" s="64"/>
      <c r="H231" s="64"/>
      <c r="I231" s="64"/>
      <c r="J231" s="64"/>
      <c r="K231" s="64"/>
      <c r="L231" s="64"/>
      <c r="M231" s="64"/>
      <c r="N231" s="64"/>
      <c r="O231" s="64"/>
      <c r="Q231" s="64"/>
      <c r="R231" s="64"/>
      <c r="S231" s="64"/>
      <c r="T231" s="64"/>
      <c r="U231" s="87"/>
      <c r="V231" s="4"/>
      <c r="W231" s="4"/>
      <c r="X231" s="4"/>
      <c r="Y231" s="4" t="s">
        <v>535</v>
      </c>
      <c r="AA231" s="4"/>
      <c r="AB231" s="4"/>
      <c r="AC231" s="4"/>
      <c r="AD231" s="91"/>
      <c r="AE231" s="4"/>
      <c r="AF231" s="4" t="s">
        <v>3051</v>
      </c>
      <c r="AG231" s="5" t="s">
        <v>3823</v>
      </c>
      <c r="AH231" s="5" t="s">
        <v>3888</v>
      </c>
      <c r="AI231" s="4"/>
      <c r="AJ231" s="4" t="s">
        <v>3824</v>
      </c>
      <c r="AK231" s="4"/>
      <c r="AL231" s="4" t="s">
        <v>3053</v>
      </c>
      <c r="AM231" s="69"/>
      <c r="AN231" s="91"/>
      <c r="AO231" s="4"/>
      <c r="AP231" s="217"/>
      <c r="AQ231" s="4"/>
      <c r="AR231" s="4"/>
      <c r="AS231" s="4"/>
      <c r="AT231" s="4"/>
      <c r="AU231" s="91"/>
      <c r="AV231" s="4"/>
      <c r="AW231" s="4"/>
      <c r="AY231" s="4"/>
      <c r="AZ231" s="4"/>
      <c r="BA231" s="4"/>
      <c r="BB231" s="4"/>
      <c r="BC231" s="4"/>
      <c r="BD231" s="4"/>
      <c r="BE231" s="4"/>
      <c r="BF231" s="4"/>
      <c r="BG231" s="4"/>
      <c r="BH231" s="4"/>
      <c r="BI231" s="69"/>
      <c r="BJ231" s="69"/>
      <c r="BK231" s="69"/>
      <c r="BL231" s="97"/>
      <c r="BM231" s="4"/>
      <c r="BN231" s="4"/>
      <c r="BO231" s="91"/>
      <c r="BP231" s="4"/>
      <c r="CF231" s="4"/>
      <c r="CS231" s="147"/>
      <c r="CU231" s="216" t="s">
        <v>3187</v>
      </c>
      <c r="CW231" s="4" t="s">
        <v>3054</v>
      </c>
      <c r="CX231" s="40"/>
    </row>
    <row r="232" spans="1:102" x14ac:dyDescent="0.3">
      <c r="A232" s="2">
        <v>265</v>
      </c>
      <c r="B232" s="109" t="s">
        <v>3889</v>
      </c>
      <c r="C232" s="55"/>
      <c r="D232" s="2"/>
      <c r="E232" s="2"/>
      <c r="F232" s="47"/>
      <c r="G232" s="67"/>
      <c r="H232" s="67"/>
      <c r="I232" s="67"/>
      <c r="J232" s="67"/>
      <c r="K232" s="67"/>
      <c r="L232" s="67"/>
      <c r="M232" s="67"/>
      <c r="N232" s="67"/>
      <c r="O232" s="67"/>
      <c r="Q232" s="67"/>
      <c r="R232" s="67"/>
      <c r="S232" s="67"/>
      <c r="T232" s="67"/>
      <c r="U232" s="86"/>
      <c r="V232" s="2"/>
      <c r="W232" s="2"/>
      <c r="X232" s="2"/>
      <c r="Y232" s="2" t="s">
        <v>535</v>
      </c>
      <c r="AA232" s="2"/>
      <c r="AB232" s="2"/>
      <c r="AC232" s="2"/>
      <c r="AD232" s="90"/>
      <c r="AE232" s="2"/>
      <c r="AF232" s="2" t="s">
        <v>3890</v>
      </c>
      <c r="AG232" s="3" t="s">
        <v>3823</v>
      </c>
      <c r="AH232" s="3" t="s">
        <v>3891</v>
      </c>
      <c r="AI232" s="2"/>
      <c r="AJ232" s="2" t="s">
        <v>3824</v>
      </c>
      <c r="AK232" s="2"/>
      <c r="AL232" s="2" t="s">
        <v>3053</v>
      </c>
      <c r="AM232" s="68"/>
      <c r="AN232" s="90"/>
      <c r="AO232" s="2"/>
      <c r="AP232" s="109"/>
      <c r="AQ232" s="2"/>
      <c r="AR232" s="2"/>
      <c r="AS232" s="2"/>
      <c r="AT232" s="2"/>
      <c r="AU232" s="90"/>
      <c r="AV232" s="2"/>
      <c r="AW232" s="2"/>
      <c r="AY232" s="2"/>
      <c r="AZ232" s="2"/>
      <c r="BA232" s="2"/>
      <c r="BB232" s="2"/>
      <c r="BC232" s="2" t="s">
        <v>135</v>
      </c>
      <c r="BD232" s="2"/>
      <c r="BE232" s="2"/>
      <c r="BF232" s="2"/>
      <c r="BG232" s="2"/>
      <c r="BH232" s="2"/>
      <c r="BI232" s="68">
        <v>45910</v>
      </c>
      <c r="BJ232" s="68"/>
      <c r="BK232" s="68">
        <v>46246</v>
      </c>
      <c r="BL232" s="98"/>
      <c r="BM232" s="2"/>
      <c r="BN232" s="2"/>
      <c r="BO232" s="90"/>
      <c r="BP232" s="2"/>
      <c r="CF232" s="2"/>
      <c r="CS232" s="146"/>
      <c r="CU232" s="132" t="s">
        <v>3187</v>
      </c>
      <c r="CW232" s="2" t="s">
        <v>3054</v>
      </c>
      <c r="CX232" s="41"/>
    </row>
    <row r="233" spans="1:102" x14ac:dyDescent="0.3">
      <c r="A233" s="4">
        <v>266</v>
      </c>
      <c r="B233" s="44" t="s">
        <v>1705</v>
      </c>
      <c r="C233" s="57" t="s">
        <v>109</v>
      </c>
      <c r="D233" s="4" t="s">
        <v>109</v>
      </c>
      <c r="E233" s="4" t="s">
        <v>109</v>
      </c>
      <c r="F233" s="46" t="s">
        <v>1706</v>
      </c>
      <c r="G233" s="64" t="s">
        <v>233</v>
      </c>
      <c r="H233" s="64" t="s">
        <v>113</v>
      </c>
      <c r="I233" s="64" t="s">
        <v>109</v>
      </c>
      <c r="J233" s="64" t="s">
        <v>109</v>
      </c>
      <c r="K233" s="64" t="s">
        <v>662</v>
      </c>
      <c r="L233" s="64" t="s">
        <v>1158</v>
      </c>
      <c r="M233" s="64" t="s">
        <v>109</v>
      </c>
      <c r="N233" s="64" t="s">
        <v>109</v>
      </c>
      <c r="O233" s="4" t="s">
        <v>109</v>
      </c>
      <c r="Q233" s="6" t="s">
        <v>109</v>
      </c>
      <c r="R233" s="64" t="s">
        <v>109</v>
      </c>
      <c r="S233" s="64" t="s">
        <v>109</v>
      </c>
      <c r="T233" s="64" t="s">
        <v>109</v>
      </c>
      <c r="U233" s="6" t="s">
        <v>285</v>
      </c>
      <c r="V233" s="4" t="s">
        <v>918</v>
      </c>
      <c r="W233" s="4" t="b">
        <v>0</v>
      </c>
      <c r="X233" s="4" t="s">
        <v>109</v>
      </c>
      <c r="Y233" s="4" t="s">
        <v>1704</v>
      </c>
      <c r="AA233" s="4" t="s">
        <v>109</v>
      </c>
      <c r="AB233" s="4" t="s">
        <v>109</v>
      </c>
      <c r="AC233" s="4" t="s">
        <v>109</v>
      </c>
      <c r="AD233" s="4" t="s">
        <v>109</v>
      </c>
      <c r="AE233" s="4">
        <v>1.1000000000000001</v>
      </c>
      <c r="AF233" s="4" t="s">
        <v>3030</v>
      </c>
      <c r="AG233" s="5" t="s">
        <v>3892</v>
      </c>
      <c r="AH233" s="216" t="s">
        <v>3893</v>
      </c>
      <c r="AI233" s="4">
        <v>7</v>
      </c>
      <c r="AJ233" s="4" t="s">
        <v>3894</v>
      </c>
      <c r="AK233" s="4" t="s">
        <v>121</v>
      </c>
      <c r="AL233" s="4" t="s">
        <v>3027</v>
      </c>
      <c r="AM233" s="69">
        <v>45268</v>
      </c>
      <c r="AN233" s="4" t="s">
        <v>122</v>
      </c>
      <c r="AO233" s="4" t="s">
        <v>109</v>
      </c>
      <c r="AP233" s="217" t="s">
        <v>109</v>
      </c>
      <c r="AQ233" s="4" t="b">
        <v>0</v>
      </c>
      <c r="AR233" s="4" t="s">
        <v>109</v>
      </c>
      <c r="AS233" s="4" t="s">
        <v>109</v>
      </c>
      <c r="AT233" s="4" t="s">
        <v>109</v>
      </c>
      <c r="AU233" s="4" t="b">
        <v>0</v>
      </c>
      <c r="AV233" s="4" t="s">
        <v>109</v>
      </c>
      <c r="AW233" s="4" t="s">
        <v>109</v>
      </c>
      <c r="AY233" s="4" t="s">
        <v>109</v>
      </c>
      <c r="AZ233" s="4" t="s">
        <v>109</v>
      </c>
      <c r="BA233" s="4" t="s">
        <v>109</v>
      </c>
      <c r="BB233" s="4" t="s">
        <v>109</v>
      </c>
      <c r="BC233" s="6" t="s">
        <v>109</v>
      </c>
      <c r="BD233" s="6" t="s">
        <v>109</v>
      </c>
      <c r="BE233" s="6" t="s">
        <v>109</v>
      </c>
      <c r="BF233" s="6" t="s">
        <v>109</v>
      </c>
      <c r="BG233" s="4" t="s">
        <v>126</v>
      </c>
      <c r="BH233" s="4" t="s">
        <v>109</v>
      </c>
      <c r="BI233" s="75" t="s">
        <v>109</v>
      </c>
      <c r="BJ233" s="75">
        <v>45657</v>
      </c>
      <c r="BK233" s="75" t="s">
        <v>109</v>
      </c>
      <c r="BL233" s="6" t="s">
        <v>109</v>
      </c>
      <c r="BM233" s="6" t="s">
        <v>109</v>
      </c>
      <c r="BN233" s="4" t="b">
        <v>1</v>
      </c>
      <c r="BO233" s="130" t="s">
        <v>118</v>
      </c>
      <c r="BP233" s="6" t="s">
        <v>128</v>
      </c>
      <c r="CF233" s="6" t="s">
        <v>528</v>
      </c>
      <c r="CS233" s="144"/>
      <c r="CU233" s="216" t="s">
        <v>3060</v>
      </c>
      <c r="CW233" s="4" t="s">
        <v>3029</v>
      </c>
      <c r="CX233" s="39"/>
    </row>
    <row r="234" spans="1:102" ht="26.4" x14ac:dyDescent="0.3">
      <c r="A234" s="2">
        <v>267</v>
      </c>
      <c r="B234" s="43" t="s">
        <v>1708</v>
      </c>
      <c r="C234" s="52" t="s">
        <v>109</v>
      </c>
      <c r="D234" s="2" t="s">
        <v>109</v>
      </c>
      <c r="E234" s="7" t="s">
        <v>109</v>
      </c>
      <c r="F234" s="47" t="s">
        <v>1709</v>
      </c>
      <c r="G234" s="2" t="s">
        <v>503</v>
      </c>
      <c r="H234" s="2" t="s">
        <v>113</v>
      </c>
      <c r="I234" s="2" t="s">
        <v>109</v>
      </c>
      <c r="J234" s="2" t="s">
        <v>109</v>
      </c>
      <c r="K234" s="2" t="s">
        <v>114</v>
      </c>
      <c r="L234" s="2" t="s">
        <v>115</v>
      </c>
      <c r="M234" s="2" t="s">
        <v>109</v>
      </c>
      <c r="N234" s="2" t="s">
        <v>109</v>
      </c>
      <c r="O234" s="2" t="s">
        <v>109</v>
      </c>
      <c r="Q234" s="2" t="s">
        <v>109</v>
      </c>
      <c r="R234" s="2" t="s">
        <v>109</v>
      </c>
      <c r="S234" s="2" t="s">
        <v>109</v>
      </c>
      <c r="T234" s="2" t="s">
        <v>109</v>
      </c>
      <c r="U234" s="2" t="s">
        <v>223</v>
      </c>
      <c r="V234" s="2" t="s">
        <v>3275</v>
      </c>
      <c r="W234" s="2" t="b">
        <v>0</v>
      </c>
      <c r="X234" s="2" t="s">
        <v>109</v>
      </c>
      <c r="Y234" s="2" t="s">
        <v>1704</v>
      </c>
      <c r="AA234" s="2" t="s">
        <v>118</v>
      </c>
      <c r="AB234" s="2" t="s">
        <v>118</v>
      </c>
      <c r="AC234" s="2" t="s">
        <v>119</v>
      </c>
      <c r="AD234" s="2" t="s">
        <v>109</v>
      </c>
      <c r="AE234" s="2">
        <v>1.1000000000000001</v>
      </c>
      <c r="AF234" s="2" t="s">
        <v>3023</v>
      </c>
      <c r="AG234" s="3" t="s">
        <v>3892</v>
      </c>
      <c r="AH234" s="3" t="s">
        <v>3025</v>
      </c>
      <c r="AI234" s="2">
        <v>7</v>
      </c>
      <c r="AJ234" s="2" t="s">
        <v>3894</v>
      </c>
      <c r="AK234" s="2" t="s">
        <v>121</v>
      </c>
      <c r="AL234" s="2" t="s">
        <v>3027</v>
      </c>
      <c r="AM234" s="68">
        <v>45268</v>
      </c>
      <c r="AN234" s="2" t="s">
        <v>122</v>
      </c>
      <c r="AO234" s="2" t="s">
        <v>109</v>
      </c>
      <c r="AP234" s="109" t="s">
        <v>109</v>
      </c>
      <c r="AQ234" s="2" t="b">
        <v>0</v>
      </c>
      <c r="AR234" s="2" t="s">
        <v>109</v>
      </c>
      <c r="AS234" s="2" t="s">
        <v>109</v>
      </c>
      <c r="AT234" s="2" t="s">
        <v>118</v>
      </c>
      <c r="AU234" s="2" t="b">
        <v>0</v>
      </c>
      <c r="AV234" s="2" t="s">
        <v>109</v>
      </c>
      <c r="AW234" s="2" t="s">
        <v>118</v>
      </c>
      <c r="AY234" s="2" t="s">
        <v>109</v>
      </c>
      <c r="AZ234" s="2" t="s">
        <v>109</v>
      </c>
      <c r="BA234" s="2" t="s">
        <v>118</v>
      </c>
      <c r="BB234" s="2" t="s">
        <v>118</v>
      </c>
      <c r="BC234" s="2" t="s">
        <v>109</v>
      </c>
      <c r="BD234" s="68" t="s">
        <v>109</v>
      </c>
      <c r="BE234" s="7" t="s">
        <v>109</v>
      </c>
      <c r="BF234" s="2" t="s">
        <v>109</v>
      </c>
      <c r="BG234" s="2" t="s">
        <v>126</v>
      </c>
      <c r="BH234" s="2" t="s">
        <v>109</v>
      </c>
      <c r="BI234" s="68" t="s">
        <v>109</v>
      </c>
      <c r="BJ234" s="68">
        <v>45657</v>
      </c>
      <c r="BK234" s="68" t="s">
        <v>109</v>
      </c>
      <c r="BL234" s="98" t="s">
        <v>109</v>
      </c>
      <c r="BM234" s="2" t="s">
        <v>109</v>
      </c>
      <c r="BN234" s="2" t="b">
        <v>1</v>
      </c>
      <c r="BO234" s="85" t="s">
        <v>118</v>
      </c>
      <c r="BP234" s="2" t="s">
        <v>128</v>
      </c>
      <c r="CF234" s="2" t="s">
        <v>460</v>
      </c>
      <c r="CS234" s="142" t="s">
        <v>3895</v>
      </c>
      <c r="CU234" s="132" t="s">
        <v>3060</v>
      </c>
      <c r="CW234" s="2" t="s">
        <v>3029</v>
      </c>
      <c r="CX234" s="41"/>
    </row>
    <row r="235" spans="1:102" ht="39.6" x14ac:dyDescent="0.3">
      <c r="A235" s="4">
        <v>268</v>
      </c>
      <c r="B235" s="44" t="s">
        <v>1711</v>
      </c>
      <c r="C235" s="53">
        <v>32.713327999999997</v>
      </c>
      <c r="D235" s="53">
        <v>-117.15163200000001</v>
      </c>
      <c r="E235" s="4" t="s">
        <v>329</v>
      </c>
      <c r="F235" s="46" t="s">
        <v>3896</v>
      </c>
      <c r="G235" s="4" t="s">
        <v>133</v>
      </c>
      <c r="H235" s="4" t="s">
        <v>113</v>
      </c>
      <c r="I235" s="4" t="s">
        <v>109</v>
      </c>
      <c r="J235" s="4" t="s">
        <v>109</v>
      </c>
      <c r="K235" s="4" t="s">
        <v>114</v>
      </c>
      <c r="L235" s="4" t="s">
        <v>365</v>
      </c>
      <c r="M235" s="4" t="s">
        <v>109</v>
      </c>
      <c r="N235" s="4" t="s">
        <v>109</v>
      </c>
      <c r="O235" s="69">
        <v>45539</v>
      </c>
      <c r="Q235" s="4" t="s">
        <v>109</v>
      </c>
      <c r="R235" s="4" t="s">
        <v>109</v>
      </c>
      <c r="S235" s="4" t="s">
        <v>109</v>
      </c>
      <c r="T235" s="4" t="s">
        <v>109</v>
      </c>
      <c r="U235" s="4" t="s">
        <v>116</v>
      </c>
      <c r="V235" s="4" t="s">
        <v>3022</v>
      </c>
      <c r="W235" s="4" t="b">
        <v>0</v>
      </c>
      <c r="X235" s="88" t="s">
        <v>109</v>
      </c>
      <c r="Y235" s="4" t="s">
        <v>672</v>
      </c>
      <c r="AA235" s="4" t="s">
        <v>118</v>
      </c>
      <c r="AB235" s="53">
        <v>0.56634399999999996</v>
      </c>
      <c r="AC235" s="4">
        <v>69</v>
      </c>
      <c r="AD235" s="4" t="s">
        <v>1713</v>
      </c>
      <c r="AE235" s="4">
        <v>4.0999999999999996</v>
      </c>
      <c r="AF235" s="4" t="s">
        <v>3897</v>
      </c>
      <c r="AG235" s="5" t="s">
        <v>3898</v>
      </c>
      <c r="AH235" s="5" t="s">
        <v>3899</v>
      </c>
      <c r="AI235" s="4">
        <v>1</v>
      </c>
      <c r="AJ235" s="4" t="s">
        <v>3900</v>
      </c>
      <c r="AK235" s="4" t="s">
        <v>121</v>
      </c>
      <c r="AL235" s="4" t="s">
        <v>3027</v>
      </c>
      <c r="AM235" s="69" t="s">
        <v>3901</v>
      </c>
      <c r="AN235" s="4" t="s">
        <v>122</v>
      </c>
      <c r="AO235" s="4">
        <v>2019</v>
      </c>
      <c r="AP235" s="217" t="s">
        <v>109</v>
      </c>
      <c r="AQ235" s="4" t="b">
        <v>0</v>
      </c>
      <c r="AR235" s="4" t="s">
        <v>109</v>
      </c>
      <c r="AS235" s="4" t="s">
        <v>109</v>
      </c>
      <c r="AT235" s="4" t="s">
        <v>118</v>
      </c>
      <c r="AU235" s="4" t="b">
        <v>0</v>
      </c>
      <c r="AV235" s="4" t="s">
        <v>109</v>
      </c>
      <c r="AW235" s="4" t="s">
        <v>118</v>
      </c>
      <c r="AY235" s="4" t="s">
        <v>109</v>
      </c>
      <c r="AZ235" s="4" t="s">
        <v>109</v>
      </c>
      <c r="BA235" s="4" t="s">
        <v>118</v>
      </c>
      <c r="BB235" s="4" t="s">
        <v>118</v>
      </c>
      <c r="BC235" s="4" t="s">
        <v>135</v>
      </c>
      <c r="BD235" s="4" t="s">
        <v>109</v>
      </c>
      <c r="BE235" s="4" t="s">
        <v>109</v>
      </c>
      <c r="BF235" s="126" t="s">
        <v>109</v>
      </c>
      <c r="BG235" s="4" t="s">
        <v>1002</v>
      </c>
      <c r="BH235" s="4" t="s">
        <v>109</v>
      </c>
      <c r="BI235" s="69">
        <v>45120</v>
      </c>
      <c r="BJ235" s="69">
        <v>46477</v>
      </c>
      <c r="BK235" s="69">
        <v>46484</v>
      </c>
      <c r="BL235" s="97" t="s">
        <v>246</v>
      </c>
      <c r="BM235" s="4" t="s">
        <v>109</v>
      </c>
      <c r="BN235" s="97" t="b">
        <v>0</v>
      </c>
      <c r="BO235" s="130">
        <v>5891.5596400000004</v>
      </c>
      <c r="BP235" s="4" t="s">
        <v>128</v>
      </c>
      <c r="CF235" s="4" t="s">
        <v>109</v>
      </c>
      <c r="CS235" s="143" t="s">
        <v>337</v>
      </c>
      <c r="CU235" s="216" t="s">
        <v>3060</v>
      </c>
      <c r="CW235" s="4" t="s">
        <v>3902</v>
      </c>
      <c r="CX235" s="40"/>
    </row>
    <row r="236" spans="1:102" x14ac:dyDescent="0.3">
      <c r="A236" s="2">
        <v>270</v>
      </c>
      <c r="B236" s="43" t="s">
        <v>1721</v>
      </c>
      <c r="C236" s="2" t="s">
        <v>109</v>
      </c>
      <c r="D236" s="7" t="s">
        <v>109</v>
      </c>
      <c r="E236" s="7" t="s">
        <v>109</v>
      </c>
      <c r="F236" s="47" t="s">
        <v>3903</v>
      </c>
      <c r="G236" s="2" t="s">
        <v>274</v>
      </c>
      <c r="H236" s="2" t="s">
        <v>146</v>
      </c>
      <c r="I236" s="2" t="s">
        <v>109</v>
      </c>
      <c r="J236" s="2" t="s">
        <v>109</v>
      </c>
      <c r="K236" s="2" t="s">
        <v>114</v>
      </c>
      <c r="L236" s="2" t="s">
        <v>194</v>
      </c>
      <c r="M236" s="2" t="s">
        <v>194</v>
      </c>
      <c r="N236" s="2" t="s">
        <v>109</v>
      </c>
      <c r="O236" s="2" t="s">
        <v>109</v>
      </c>
      <c r="Q236" s="2">
        <v>46</v>
      </c>
      <c r="R236" s="2" t="s">
        <v>109</v>
      </c>
      <c r="S236" s="2" t="s">
        <v>109</v>
      </c>
      <c r="T236" s="2" t="s">
        <v>109</v>
      </c>
      <c r="U236" s="2" t="s">
        <v>116</v>
      </c>
      <c r="V236" s="2" t="s">
        <v>3022</v>
      </c>
      <c r="W236" s="2" t="b">
        <v>0</v>
      </c>
      <c r="X236" s="2" t="s">
        <v>109</v>
      </c>
      <c r="Y236" s="2" t="s">
        <v>1720</v>
      </c>
      <c r="AA236" s="2" t="s">
        <v>118</v>
      </c>
      <c r="AB236" s="2" t="s">
        <v>118</v>
      </c>
      <c r="AC236" s="2" t="s">
        <v>304</v>
      </c>
      <c r="AD236" s="2" t="s">
        <v>109</v>
      </c>
      <c r="AE236" s="2">
        <v>1.1000000000000001</v>
      </c>
      <c r="AF236" s="2" t="s">
        <v>3030</v>
      </c>
      <c r="AG236" s="3" t="s">
        <v>3904</v>
      </c>
      <c r="AH236" s="3" t="s">
        <v>3905</v>
      </c>
      <c r="AI236" s="2">
        <v>1</v>
      </c>
      <c r="AJ236" s="2" t="s">
        <v>3906</v>
      </c>
      <c r="AK236" s="2" t="s">
        <v>121</v>
      </c>
      <c r="AL236" s="2" t="s">
        <v>3027</v>
      </c>
      <c r="AM236" s="68" t="s">
        <v>3907</v>
      </c>
      <c r="AN236" s="2" t="s">
        <v>122</v>
      </c>
      <c r="AO236" s="2" t="s">
        <v>109</v>
      </c>
      <c r="AP236" s="109" t="s">
        <v>109</v>
      </c>
      <c r="AQ236" s="2" t="b">
        <v>0</v>
      </c>
      <c r="AR236" s="2" t="s">
        <v>109</v>
      </c>
      <c r="AS236" s="2" t="s">
        <v>109</v>
      </c>
      <c r="AT236" s="2" t="s">
        <v>118</v>
      </c>
      <c r="AU236" s="2" t="b">
        <v>0</v>
      </c>
      <c r="AV236" s="2" t="s">
        <v>109</v>
      </c>
      <c r="AW236" s="2" t="s">
        <v>118</v>
      </c>
      <c r="AY236" s="2" t="s">
        <v>109</v>
      </c>
      <c r="AZ236" s="2" t="s">
        <v>109</v>
      </c>
      <c r="BA236" s="2" t="s">
        <v>118</v>
      </c>
      <c r="BB236" s="2" t="s">
        <v>118</v>
      </c>
      <c r="BC236" s="2" t="s">
        <v>109</v>
      </c>
      <c r="BD236" s="68" t="s">
        <v>109</v>
      </c>
      <c r="BE236" s="7" t="s">
        <v>109</v>
      </c>
      <c r="BF236" s="2" t="s">
        <v>109</v>
      </c>
      <c r="BG236" s="2" t="s">
        <v>546</v>
      </c>
      <c r="BH236" s="2" t="s">
        <v>109</v>
      </c>
      <c r="BI236" s="68" t="s">
        <v>109</v>
      </c>
      <c r="BJ236" s="68">
        <v>44742</v>
      </c>
      <c r="BK236" s="68" t="s">
        <v>109</v>
      </c>
      <c r="BL236" s="98" t="s">
        <v>109</v>
      </c>
      <c r="BM236" s="2" t="s">
        <v>109</v>
      </c>
      <c r="BN236" s="98" t="b">
        <v>0</v>
      </c>
      <c r="BO236" s="85" t="s">
        <v>118</v>
      </c>
      <c r="BP236" s="2" t="s">
        <v>128</v>
      </c>
      <c r="CF236" s="2" t="s">
        <v>109</v>
      </c>
      <c r="CS236" s="145"/>
      <c r="CU236" s="132" t="s">
        <v>3187</v>
      </c>
      <c r="CW236" s="2" t="s">
        <v>3029</v>
      </c>
      <c r="CX236" s="38"/>
    </row>
    <row r="237" spans="1:102" ht="27" x14ac:dyDescent="0.3">
      <c r="A237" s="4">
        <v>271</v>
      </c>
      <c r="B237" s="44" t="s">
        <v>1726</v>
      </c>
      <c r="C237" s="56" t="s">
        <v>109</v>
      </c>
      <c r="D237" s="4" t="s">
        <v>109</v>
      </c>
      <c r="E237" s="4" t="s">
        <v>109</v>
      </c>
      <c r="F237" s="46" t="s">
        <v>1727</v>
      </c>
      <c r="G237" s="64" t="s">
        <v>688</v>
      </c>
      <c r="H237" s="4" t="s">
        <v>146</v>
      </c>
      <c r="I237" s="4" t="s">
        <v>109</v>
      </c>
      <c r="J237" s="4" t="s">
        <v>109</v>
      </c>
      <c r="K237" s="4" t="s">
        <v>1728</v>
      </c>
      <c r="L237" s="4" t="s">
        <v>251</v>
      </c>
      <c r="M237" s="4" t="s">
        <v>109</v>
      </c>
      <c r="N237" s="4" t="s">
        <v>109</v>
      </c>
      <c r="O237" s="6" t="s">
        <v>109</v>
      </c>
      <c r="Q237" s="4" t="s">
        <v>109</v>
      </c>
      <c r="R237" s="4" t="s">
        <v>109</v>
      </c>
      <c r="S237" s="4" t="s">
        <v>109</v>
      </c>
      <c r="T237" s="4" t="s">
        <v>109</v>
      </c>
      <c r="U237" s="4" t="s">
        <v>116</v>
      </c>
      <c r="V237" s="4" t="s">
        <v>3022</v>
      </c>
      <c r="W237" s="4" t="b">
        <v>0</v>
      </c>
      <c r="X237" s="4" t="s">
        <v>224</v>
      </c>
      <c r="Y237" s="4" t="s">
        <v>902</v>
      </c>
      <c r="AA237" s="4" t="s">
        <v>109</v>
      </c>
      <c r="AB237" s="4" t="s">
        <v>109</v>
      </c>
      <c r="AC237" s="92" t="s">
        <v>119</v>
      </c>
      <c r="AD237" s="93" t="s">
        <v>109</v>
      </c>
      <c r="AE237" s="94">
        <v>1.2</v>
      </c>
      <c r="AF237" s="4" t="s">
        <v>3023</v>
      </c>
      <c r="AG237" s="5" t="s">
        <v>3908</v>
      </c>
      <c r="AH237" s="5" t="s">
        <v>3025</v>
      </c>
      <c r="AI237" s="4">
        <v>1037</v>
      </c>
      <c r="AJ237" s="4" t="s">
        <v>3909</v>
      </c>
      <c r="AK237" s="4" t="s">
        <v>121</v>
      </c>
      <c r="AL237" s="6" t="s">
        <v>3027</v>
      </c>
      <c r="AM237" s="111" t="s">
        <v>109</v>
      </c>
      <c r="AN237" s="4" t="s">
        <v>122</v>
      </c>
      <c r="AO237" s="99" t="s">
        <v>109</v>
      </c>
      <c r="AP237" s="217" t="s">
        <v>109</v>
      </c>
      <c r="AQ237" s="93" t="b">
        <v>0</v>
      </c>
      <c r="AR237" s="118" t="s">
        <v>109</v>
      </c>
      <c r="AS237" s="93" t="s">
        <v>109</v>
      </c>
      <c r="AT237" s="93" t="s">
        <v>118</v>
      </c>
      <c r="AU237" s="93" t="b">
        <v>0</v>
      </c>
      <c r="AV237" s="4" t="s">
        <v>123</v>
      </c>
      <c r="AW237" s="4" t="s">
        <v>109</v>
      </c>
      <c r="AY237" s="4" t="s">
        <v>109</v>
      </c>
      <c r="AZ237" s="4" t="s">
        <v>109</v>
      </c>
      <c r="BA237" s="4" t="s">
        <v>195</v>
      </c>
      <c r="BB237" s="4" t="s">
        <v>109</v>
      </c>
      <c r="BC237" s="4" t="s">
        <v>135</v>
      </c>
      <c r="BD237" s="4" t="s">
        <v>109</v>
      </c>
      <c r="BE237" s="4" t="s">
        <v>109</v>
      </c>
      <c r="BF237" s="4" t="s">
        <v>109</v>
      </c>
      <c r="BG237" s="93" t="s">
        <v>126</v>
      </c>
      <c r="BH237" s="93" t="s">
        <v>109</v>
      </c>
      <c r="BI237" s="111" t="s">
        <v>109</v>
      </c>
      <c r="BJ237" s="93" t="s">
        <v>118</v>
      </c>
      <c r="BK237" s="111" t="s">
        <v>118</v>
      </c>
      <c r="BL237" s="93" t="s">
        <v>109</v>
      </c>
      <c r="BM237" s="99" t="s">
        <v>109</v>
      </c>
      <c r="BN237" s="99" t="b">
        <v>1</v>
      </c>
      <c r="BO237" s="131" t="s">
        <v>118</v>
      </c>
      <c r="BP237" s="6" t="s">
        <v>128</v>
      </c>
      <c r="CF237" s="6" t="s">
        <v>129</v>
      </c>
      <c r="CS237" s="143"/>
      <c r="CU237" s="216" t="s">
        <v>3187</v>
      </c>
      <c r="CW237" s="4" t="s">
        <v>3029</v>
      </c>
      <c r="CX237" s="220" t="s">
        <v>3910</v>
      </c>
    </row>
    <row r="238" spans="1:102" ht="39.6" x14ac:dyDescent="0.3">
      <c r="A238" s="2">
        <v>272</v>
      </c>
      <c r="B238" s="49" t="s">
        <v>1730</v>
      </c>
      <c r="C238" s="51">
        <v>32.795000000000002</v>
      </c>
      <c r="D238" s="51">
        <v>-116.977</v>
      </c>
      <c r="E238" s="2" t="s">
        <v>1731</v>
      </c>
      <c r="F238" s="47" t="s">
        <v>1727</v>
      </c>
      <c r="G238" s="67" t="s">
        <v>688</v>
      </c>
      <c r="H238" s="2" t="s">
        <v>146</v>
      </c>
      <c r="I238" s="2" t="s">
        <v>109</v>
      </c>
      <c r="J238" s="2" t="s">
        <v>109</v>
      </c>
      <c r="K238" s="2" t="s">
        <v>1728</v>
      </c>
      <c r="L238" s="2" t="s">
        <v>251</v>
      </c>
      <c r="M238" s="2" t="s">
        <v>109</v>
      </c>
      <c r="N238" s="2" t="s">
        <v>109</v>
      </c>
      <c r="O238" s="7" t="s">
        <v>109</v>
      </c>
      <c r="Q238" s="2" t="s">
        <v>109</v>
      </c>
      <c r="R238" s="2" t="s">
        <v>109</v>
      </c>
      <c r="S238" s="2" t="s">
        <v>109</v>
      </c>
      <c r="T238" s="2" t="s">
        <v>109</v>
      </c>
      <c r="U238" s="2" t="s">
        <v>116</v>
      </c>
      <c r="V238" s="2" t="s">
        <v>3022</v>
      </c>
      <c r="W238" s="2" t="b">
        <v>0</v>
      </c>
      <c r="X238" s="2" t="s">
        <v>109</v>
      </c>
      <c r="Y238" s="2" t="s">
        <v>902</v>
      </c>
      <c r="AA238" s="7">
        <v>0.1</v>
      </c>
      <c r="AB238" s="2" t="s">
        <v>109</v>
      </c>
      <c r="AC238" s="2" t="s">
        <v>119</v>
      </c>
      <c r="AD238" s="2" t="s">
        <v>109</v>
      </c>
      <c r="AE238" s="2">
        <v>1.1000000000000001</v>
      </c>
      <c r="AF238" s="2" t="s">
        <v>3911</v>
      </c>
      <c r="AG238" s="3" t="s">
        <v>3908</v>
      </c>
      <c r="AH238" s="3" t="s">
        <v>3912</v>
      </c>
      <c r="AI238" s="2">
        <v>1</v>
      </c>
      <c r="AJ238" s="2" t="s">
        <v>3909</v>
      </c>
      <c r="AK238" s="2" t="s">
        <v>121</v>
      </c>
      <c r="AL238" s="2" t="s">
        <v>3027</v>
      </c>
      <c r="AM238" s="68">
        <v>43996</v>
      </c>
      <c r="AN238" s="2" t="s">
        <v>122</v>
      </c>
      <c r="AO238" s="2" t="s">
        <v>109</v>
      </c>
      <c r="AP238" s="109" t="s">
        <v>109</v>
      </c>
      <c r="AQ238" s="2" t="b">
        <v>0</v>
      </c>
      <c r="AR238" s="2" t="s">
        <v>109</v>
      </c>
      <c r="AS238" s="2" t="s">
        <v>109</v>
      </c>
      <c r="AT238" s="2" t="s">
        <v>109</v>
      </c>
      <c r="AU238" s="2" t="b">
        <v>0</v>
      </c>
      <c r="AV238" s="2" t="s">
        <v>109</v>
      </c>
      <c r="AW238" s="2" t="s">
        <v>109</v>
      </c>
      <c r="AY238" s="2" t="s">
        <v>109</v>
      </c>
      <c r="AZ238" s="2" t="s">
        <v>109</v>
      </c>
      <c r="BA238" s="2" t="s">
        <v>109</v>
      </c>
      <c r="BB238" s="2" t="s">
        <v>109</v>
      </c>
      <c r="BC238" s="2" t="s">
        <v>135</v>
      </c>
      <c r="BD238" s="2" t="s">
        <v>109</v>
      </c>
      <c r="BE238" s="2" t="s">
        <v>109</v>
      </c>
      <c r="BF238" s="2" t="s">
        <v>109</v>
      </c>
      <c r="BG238" s="124" t="s">
        <v>425</v>
      </c>
      <c r="BH238" s="2" t="s">
        <v>109</v>
      </c>
      <c r="BI238" s="68">
        <v>45485</v>
      </c>
      <c r="BJ238" s="68">
        <v>45657</v>
      </c>
      <c r="BK238" s="68">
        <v>46084</v>
      </c>
      <c r="BL238" s="98" t="s">
        <v>109</v>
      </c>
      <c r="BM238" s="2" t="s">
        <v>109</v>
      </c>
      <c r="BN238" s="2" t="b">
        <v>1</v>
      </c>
      <c r="BO238" s="85" t="s">
        <v>118</v>
      </c>
      <c r="BP238" s="2" t="s">
        <v>128</v>
      </c>
      <c r="CF238" s="2" t="s">
        <v>2295</v>
      </c>
      <c r="CS238" s="142" t="s">
        <v>1739</v>
      </c>
      <c r="CU238" s="132" t="s">
        <v>3187</v>
      </c>
      <c r="CW238" s="2" t="s">
        <v>3913</v>
      </c>
      <c r="CX238" s="38"/>
    </row>
    <row r="239" spans="1:102" ht="66" x14ac:dyDescent="0.3">
      <c r="A239" s="4">
        <v>273</v>
      </c>
      <c r="B239" s="44" t="s">
        <v>1740</v>
      </c>
      <c r="C239" s="53">
        <v>32.802999999999997</v>
      </c>
      <c r="D239" s="53">
        <v>-116.944</v>
      </c>
      <c r="E239" s="4" t="s">
        <v>1731</v>
      </c>
      <c r="F239" s="46" t="s">
        <v>1727</v>
      </c>
      <c r="G239" s="64" t="s">
        <v>688</v>
      </c>
      <c r="H239" s="4" t="s">
        <v>146</v>
      </c>
      <c r="I239" s="4" t="s">
        <v>109</v>
      </c>
      <c r="J239" s="4" t="s">
        <v>109</v>
      </c>
      <c r="K239" s="4" t="s">
        <v>1728</v>
      </c>
      <c r="L239" s="4" t="s">
        <v>251</v>
      </c>
      <c r="M239" s="4" t="s">
        <v>109</v>
      </c>
      <c r="N239" s="4" t="s">
        <v>109</v>
      </c>
      <c r="O239" s="69">
        <v>45314</v>
      </c>
      <c r="Q239" s="4" t="s">
        <v>109</v>
      </c>
      <c r="R239" s="4" t="s">
        <v>109</v>
      </c>
      <c r="S239" s="4" t="s">
        <v>109</v>
      </c>
      <c r="T239" s="4" t="s">
        <v>109</v>
      </c>
      <c r="U239" s="4" t="s">
        <v>116</v>
      </c>
      <c r="V239" s="4" t="s">
        <v>3022</v>
      </c>
      <c r="W239" s="4" t="b">
        <v>0</v>
      </c>
      <c r="X239" s="4" t="s">
        <v>109</v>
      </c>
      <c r="Y239" s="4" t="s">
        <v>902</v>
      </c>
      <c r="AA239" s="4">
        <v>0.1</v>
      </c>
      <c r="AB239" s="4" t="s">
        <v>109</v>
      </c>
      <c r="AC239" s="4" t="s">
        <v>304</v>
      </c>
      <c r="AD239" s="4" t="s">
        <v>109</v>
      </c>
      <c r="AE239" s="4">
        <v>1.1000000000000001</v>
      </c>
      <c r="AF239" s="4" t="s">
        <v>3914</v>
      </c>
      <c r="AG239" s="5" t="s">
        <v>3908</v>
      </c>
      <c r="AH239" s="5" t="s">
        <v>3915</v>
      </c>
      <c r="AI239" s="4">
        <v>1</v>
      </c>
      <c r="AJ239" s="4" t="s">
        <v>3909</v>
      </c>
      <c r="AK239" s="4" t="s">
        <v>121</v>
      </c>
      <c r="AL239" s="4" t="s">
        <v>3027</v>
      </c>
      <c r="AM239" s="69">
        <v>44263</v>
      </c>
      <c r="AN239" s="4" t="s">
        <v>122</v>
      </c>
      <c r="AO239" s="4" t="s">
        <v>109</v>
      </c>
      <c r="AP239" s="217" t="s">
        <v>109</v>
      </c>
      <c r="AQ239" s="4" t="b">
        <v>0</v>
      </c>
      <c r="AR239" s="4" t="s">
        <v>109</v>
      </c>
      <c r="AS239" s="4" t="s">
        <v>109</v>
      </c>
      <c r="AT239" s="4" t="s">
        <v>109</v>
      </c>
      <c r="AU239" s="4" t="b">
        <v>0</v>
      </c>
      <c r="AV239" s="4" t="s">
        <v>109</v>
      </c>
      <c r="AW239" s="4" t="s">
        <v>109</v>
      </c>
      <c r="AY239" s="4" t="s">
        <v>109</v>
      </c>
      <c r="AZ239" s="4" t="s">
        <v>109</v>
      </c>
      <c r="BA239" s="4" t="s">
        <v>109</v>
      </c>
      <c r="BB239" s="4" t="s">
        <v>109</v>
      </c>
      <c r="BC239" s="4" t="s">
        <v>135</v>
      </c>
      <c r="BD239" s="4" t="s">
        <v>109</v>
      </c>
      <c r="BE239" s="4" t="s">
        <v>109</v>
      </c>
      <c r="BF239" s="4" t="s">
        <v>109</v>
      </c>
      <c r="BG239" s="4" t="s">
        <v>126</v>
      </c>
      <c r="BH239" s="4" t="s">
        <v>109</v>
      </c>
      <c r="BI239" s="69">
        <v>44911</v>
      </c>
      <c r="BJ239" s="69">
        <v>46022</v>
      </c>
      <c r="BK239" s="69">
        <v>45269</v>
      </c>
      <c r="BL239" s="97" t="s">
        <v>109</v>
      </c>
      <c r="BM239" s="4" t="s">
        <v>109</v>
      </c>
      <c r="BN239" s="4" t="b">
        <v>1</v>
      </c>
      <c r="BO239" s="130" t="s">
        <v>118</v>
      </c>
      <c r="BP239" s="4" t="s">
        <v>128</v>
      </c>
      <c r="CF239" s="4" t="s">
        <v>2295</v>
      </c>
      <c r="CS239" s="143" t="s">
        <v>1746</v>
      </c>
      <c r="CU239" s="216" t="s">
        <v>3187</v>
      </c>
      <c r="CW239" s="4" t="s">
        <v>3916</v>
      </c>
      <c r="CX239" s="39"/>
    </row>
    <row r="240" spans="1:102" x14ac:dyDescent="0.3">
      <c r="A240" s="2">
        <v>274</v>
      </c>
      <c r="B240" s="43" t="s">
        <v>1747</v>
      </c>
      <c r="C240" s="51">
        <v>32.844000000000001</v>
      </c>
      <c r="D240" s="51">
        <v>-117.23699999999999</v>
      </c>
      <c r="E240" s="2" t="s">
        <v>329</v>
      </c>
      <c r="F240" s="47" t="s">
        <v>1727</v>
      </c>
      <c r="G240" s="67" t="s">
        <v>688</v>
      </c>
      <c r="H240" s="2" t="s">
        <v>146</v>
      </c>
      <c r="I240" s="2" t="s">
        <v>109</v>
      </c>
      <c r="J240" s="2" t="s">
        <v>109</v>
      </c>
      <c r="K240" s="2" t="s">
        <v>1728</v>
      </c>
      <c r="L240" s="2" t="s">
        <v>251</v>
      </c>
      <c r="M240" s="2" t="s">
        <v>109</v>
      </c>
      <c r="N240" s="2" t="s">
        <v>109</v>
      </c>
      <c r="O240" s="68">
        <v>45363</v>
      </c>
      <c r="Q240" s="2" t="s">
        <v>109</v>
      </c>
      <c r="R240" s="2" t="s">
        <v>109</v>
      </c>
      <c r="S240" s="2" t="s">
        <v>109</v>
      </c>
      <c r="T240" s="2" t="s">
        <v>109</v>
      </c>
      <c r="U240" s="2" t="s">
        <v>116</v>
      </c>
      <c r="V240" s="2" t="s">
        <v>3022</v>
      </c>
      <c r="W240" s="2" t="b">
        <v>0</v>
      </c>
      <c r="X240" s="2" t="s">
        <v>109</v>
      </c>
      <c r="Y240" s="2" t="s">
        <v>902</v>
      </c>
      <c r="AA240" s="2" t="s">
        <v>109</v>
      </c>
      <c r="AB240" s="2" t="s">
        <v>109</v>
      </c>
      <c r="AC240" s="2" t="s">
        <v>304</v>
      </c>
      <c r="AD240" s="2" t="s">
        <v>109</v>
      </c>
      <c r="AE240" s="2">
        <v>1.1000000000000001</v>
      </c>
      <c r="AF240" s="2" t="s">
        <v>3917</v>
      </c>
      <c r="AG240" s="3" t="s">
        <v>3908</v>
      </c>
      <c r="AH240" s="3" t="s">
        <v>3918</v>
      </c>
      <c r="AI240" s="2">
        <v>1</v>
      </c>
      <c r="AJ240" s="2" t="s">
        <v>3909</v>
      </c>
      <c r="AK240" s="2" t="s">
        <v>121</v>
      </c>
      <c r="AL240" s="2" t="s">
        <v>3027</v>
      </c>
      <c r="AM240" s="68">
        <v>43698</v>
      </c>
      <c r="AN240" s="2" t="s">
        <v>122</v>
      </c>
      <c r="AO240" s="2" t="s">
        <v>109</v>
      </c>
      <c r="AP240" s="109" t="s">
        <v>109</v>
      </c>
      <c r="AQ240" s="2" t="b">
        <v>0</v>
      </c>
      <c r="AR240" s="2" t="s">
        <v>109</v>
      </c>
      <c r="AS240" s="2" t="s">
        <v>109</v>
      </c>
      <c r="AT240" s="2" t="s">
        <v>109</v>
      </c>
      <c r="AU240" s="2" t="b">
        <v>0</v>
      </c>
      <c r="AV240" s="2" t="s">
        <v>109</v>
      </c>
      <c r="AW240" s="2" t="s">
        <v>109</v>
      </c>
      <c r="AY240" s="2" t="s">
        <v>109</v>
      </c>
      <c r="AZ240" s="2" t="s">
        <v>109</v>
      </c>
      <c r="BA240" s="2" t="s">
        <v>109</v>
      </c>
      <c r="BB240" s="2" t="s">
        <v>109</v>
      </c>
      <c r="BC240" s="2" t="s">
        <v>135</v>
      </c>
      <c r="BD240" s="2" t="s">
        <v>109</v>
      </c>
      <c r="BE240" s="2" t="s">
        <v>109</v>
      </c>
      <c r="BF240" s="2" t="s">
        <v>109</v>
      </c>
      <c r="BG240" s="2" t="s">
        <v>126</v>
      </c>
      <c r="BH240" s="2" t="s">
        <v>109</v>
      </c>
      <c r="BI240" s="68">
        <v>44596</v>
      </c>
      <c r="BJ240" s="68">
        <v>44196</v>
      </c>
      <c r="BK240" s="68">
        <v>45088</v>
      </c>
      <c r="BL240" s="98" t="s">
        <v>109</v>
      </c>
      <c r="BM240" s="2" t="s">
        <v>109</v>
      </c>
      <c r="BN240" s="2" t="b">
        <v>1</v>
      </c>
      <c r="BO240" s="85" t="s">
        <v>118</v>
      </c>
      <c r="BP240" s="2" t="s">
        <v>128</v>
      </c>
      <c r="CF240" s="2" t="s">
        <v>174</v>
      </c>
      <c r="CS240" s="145"/>
      <c r="CU240" s="132" t="s">
        <v>3187</v>
      </c>
      <c r="CW240" s="2" t="s">
        <v>3442</v>
      </c>
      <c r="CX240" s="38"/>
    </row>
    <row r="241" spans="1:102" x14ac:dyDescent="0.3">
      <c r="A241" s="4">
        <v>275</v>
      </c>
      <c r="B241" s="44" t="s">
        <v>1752</v>
      </c>
      <c r="C241" s="53">
        <v>33.128</v>
      </c>
      <c r="D241" s="53">
        <v>-117.116</v>
      </c>
      <c r="E241" s="4" t="s">
        <v>749</v>
      </c>
      <c r="F241" s="46" t="s">
        <v>1727</v>
      </c>
      <c r="G241" s="64" t="s">
        <v>688</v>
      </c>
      <c r="H241" s="4" t="s">
        <v>146</v>
      </c>
      <c r="I241" s="4" t="s">
        <v>109</v>
      </c>
      <c r="J241" s="4" t="s">
        <v>109</v>
      </c>
      <c r="K241" s="4" t="s">
        <v>1728</v>
      </c>
      <c r="L241" s="4" t="s">
        <v>251</v>
      </c>
      <c r="M241" s="4" t="s">
        <v>109</v>
      </c>
      <c r="N241" s="4" t="s">
        <v>109</v>
      </c>
      <c r="O241" s="69">
        <v>45499</v>
      </c>
      <c r="Q241" s="4" t="s">
        <v>109</v>
      </c>
      <c r="R241" s="4" t="s">
        <v>109</v>
      </c>
      <c r="S241" s="4" t="s">
        <v>109</v>
      </c>
      <c r="T241" s="4" t="s">
        <v>109</v>
      </c>
      <c r="U241" s="4" t="s">
        <v>116</v>
      </c>
      <c r="V241" s="4" t="s">
        <v>3022</v>
      </c>
      <c r="W241" s="4" t="b">
        <v>0</v>
      </c>
      <c r="X241" s="4" t="s">
        <v>109</v>
      </c>
      <c r="Y241" s="4" t="s">
        <v>902</v>
      </c>
      <c r="AA241" s="4" t="s">
        <v>109</v>
      </c>
      <c r="AB241" s="4" t="s">
        <v>109</v>
      </c>
      <c r="AC241" s="4" t="s">
        <v>304</v>
      </c>
      <c r="AD241" s="4" t="s">
        <v>109</v>
      </c>
      <c r="AE241" s="4">
        <v>1.1000000000000001</v>
      </c>
      <c r="AF241" s="4" t="s">
        <v>3919</v>
      </c>
      <c r="AG241" s="5" t="s">
        <v>3908</v>
      </c>
      <c r="AH241" s="5" t="s">
        <v>3920</v>
      </c>
      <c r="AI241" s="4">
        <v>1</v>
      </c>
      <c r="AJ241" s="4" t="s">
        <v>3909</v>
      </c>
      <c r="AK241" s="4" t="s">
        <v>121</v>
      </c>
      <c r="AL241" s="4" t="s">
        <v>3027</v>
      </c>
      <c r="AM241" s="69">
        <v>43530</v>
      </c>
      <c r="AN241" s="4" t="s">
        <v>122</v>
      </c>
      <c r="AO241" s="4" t="s">
        <v>109</v>
      </c>
      <c r="AP241" s="217" t="s">
        <v>109</v>
      </c>
      <c r="AQ241" s="4" t="b">
        <v>0</v>
      </c>
      <c r="AR241" s="4" t="s">
        <v>109</v>
      </c>
      <c r="AS241" s="4" t="s">
        <v>109</v>
      </c>
      <c r="AT241" s="4" t="s">
        <v>109</v>
      </c>
      <c r="AU241" s="4" t="b">
        <v>0</v>
      </c>
      <c r="AV241" s="4" t="s">
        <v>109</v>
      </c>
      <c r="AW241" s="4" t="s">
        <v>109</v>
      </c>
      <c r="AY241" s="4" t="s">
        <v>109</v>
      </c>
      <c r="AZ241" s="4" t="s">
        <v>109</v>
      </c>
      <c r="BA241" s="4" t="s">
        <v>109</v>
      </c>
      <c r="BB241" s="4" t="s">
        <v>109</v>
      </c>
      <c r="BC241" s="4" t="s">
        <v>135</v>
      </c>
      <c r="BD241" s="4" t="s">
        <v>109</v>
      </c>
      <c r="BE241" s="4" t="s">
        <v>109</v>
      </c>
      <c r="BF241" s="4" t="s">
        <v>109</v>
      </c>
      <c r="BG241" s="4" t="s">
        <v>126</v>
      </c>
      <c r="BH241" s="4" t="s">
        <v>109</v>
      </c>
      <c r="BI241" s="69">
        <v>44378</v>
      </c>
      <c r="BJ241" s="69">
        <v>45291</v>
      </c>
      <c r="BK241" s="69">
        <v>44466</v>
      </c>
      <c r="BL241" s="97" t="s">
        <v>109</v>
      </c>
      <c r="BM241" s="4" t="s">
        <v>109</v>
      </c>
      <c r="BN241" s="4" t="b">
        <v>1</v>
      </c>
      <c r="BO241" s="130" t="s">
        <v>118</v>
      </c>
      <c r="BP241" s="4" t="s">
        <v>128</v>
      </c>
      <c r="CF241" s="4" t="s">
        <v>460</v>
      </c>
      <c r="CS241" s="144"/>
      <c r="CU241" s="216" t="s">
        <v>3187</v>
      </c>
      <c r="CW241" s="4" t="s">
        <v>3921</v>
      </c>
      <c r="CX241" s="39"/>
    </row>
    <row r="242" spans="1:102" x14ac:dyDescent="0.3">
      <c r="A242" s="2">
        <v>276</v>
      </c>
      <c r="B242" s="43" t="s">
        <v>1756</v>
      </c>
      <c r="C242" s="51">
        <v>32.664000000000001</v>
      </c>
      <c r="D242" s="51">
        <v>-117.078</v>
      </c>
      <c r="E242" s="2" t="s">
        <v>191</v>
      </c>
      <c r="F242" s="47" t="s">
        <v>1727</v>
      </c>
      <c r="G242" s="67" t="s">
        <v>688</v>
      </c>
      <c r="H242" s="2" t="s">
        <v>146</v>
      </c>
      <c r="I242" s="2" t="s">
        <v>109</v>
      </c>
      <c r="J242" s="2" t="s">
        <v>109</v>
      </c>
      <c r="K242" s="2" t="s">
        <v>1728</v>
      </c>
      <c r="L242" s="2" t="s">
        <v>251</v>
      </c>
      <c r="M242" s="2" t="s">
        <v>109</v>
      </c>
      <c r="N242" s="2" t="s">
        <v>109</v>
      </c>
      <c r="O242" s="68">
        <v>45344</v>
      </c>
      <c r="Q242" s="7" t="s">
        <v>1757</v>
      </c>
      <c r="R242" s="2" t="s">
        <v>109</v>
      </c>
      <c r="S242" s="2" t="s">
        <v>109</v>
      </c>
      <c r="T242" s="2" t="s">
        <v>109</v>
      </c>
      <c r="U242" s="2" t="s">
        <v>116</v>
      </c>
      <c r="V242" s="2" t="s">
        <v>3022</v>
      </c>
      <c r="W242" s="2" t="b">
        <v>0</v>
      </c>
      <c r="X242" s="2" t="s">
        <v>109</v>
      </c>
      <c r="Y242" s="2" t="s">
        <v>902</v>
      </c>
      <c r="AA242" s="2">
        <v>0.1</v>
      </c>
      <c r="AB242" s="2" t="s">
        <v>109</v>
      </c>
      <c r="AC242" s="2" t="s">
        <v>304</v>
      </c>
      <c r="AD242" s="2" t="s">
        <v>109</v>
      </c>
      <c r="AE242" s="2">
        <v>1.1000000000000001</v>
      </c>
      <c r="AF242" s="2" t="s">
        <v>3922</v>
      </c>
      <c r="AG242" s="3" t="s">
        <v>3908</v>
      </c>
      <c r="AH242" s="3" t="s">
        <v>3923</v>
      </c>
      <c r="AI242" s="2">
        <v>1</v>
      </c>
      <c r="AJ242" s="2" t="s">
        <v>3909</v>
      </c>
      <c r="AK242" s="2" t="s">
        <v>121</v>
      </c>
      <c r="AL242" s="2" t="s">
        <v>3027</v>
      </c>
      <c r="AM242" s="68">
        <v>42989</v>
      </c>
      <c r="AN242" s="2" t="s">
        <v>122</v>
      </c>
      <c r="AO242" s="2" t="s">
        <v>109</v>
      </c>
      <c r="AP242" s="109" t="s">
        <v>109</v>
      </c>
      <c r="AQ242" s="2" t="b">
        <v>0</v>
      </c>
      <c r="AR242" s="2" t="s">
        <v>109</v>
      </c>
      <c r="AS242" s="2" t="s">
        <v>109</v>
      </c>
      <c r="AT242" s="2" t="s">
        <v>109</v>
      </c>
      <c r="AU242" s="2" t="b">
        <v>0</v>
      </c>
      <c r="AV242" s="2" t="s">
        <v>109</v>
      </c>
      <c r="AW242" s="2" t="s">
        <v>109</v>
      </c>
      <c r="AY242" s="2" t="s">
        <v>109</v>
      </c>
      <c r="AZ242" s="2" t="s">
        <v>109</v>
      </c>
      <c r="BA242" s="2" t="s">
        <v>109</v>
      </c>
      <c r="BB242" s="2" t="s">
        <v>109</v>
      </c>
      <c r="BC242" s="2" t="s">
        <v>135</v>
      </c>
      <c r="BD242" s="2" t="s">
        <v>109</v>
      </c>
      <c r="BE242" s="2" t="s">
        <v>109</v>
      </c>
      <c r="BF242" s="2" t="s">
        <v>109</v>
      </c>
      <c r="BG242" s="2" t="s">
        <v>126</v>
      </c>
      <c r="BH242" s="2" t="s">
        <v>109</v>
      </c>
      <c r="BI242" s="68">
        <v>43619</v>
      </c>
      <c r="BJ242" s="68">
        <v>43465</v>
      </c>
      <c r="BK242" s="68">
        <v>44122</v>
      </c>
      <c r="BL242" s="98" t="s">
        <v>109</v>
      </c>
      <c r="BM242" s="2" t="s">
        <v>109</v>
      </c>
      <c r="BN242" s="98" t="b">
        <v>0</v>
      </c>
      <c r="BO242" s="85" t="s">
        <v>118</v>
      </c>
      <c r="BP242" s="2" t="s">
        <v>128</v>
      </c>
      <c r="CF242" s="2" t="s">
        <v>807</v>
      </c>
      <c r="CS242" s="142"/>
      <c r="CU242" s="132" t="s">
        <v>3187</v>
      </c>
      <c r="CW242" s="2" t="s">
        <v>3741</v>
      </c>
      <c r="CX242" s="38"/>
    </row>
    <row r="243" spans="1:102" ht="132" x14ac:dyDescent="0.3">
      <c r="A243" s="4">
        <v>277</v>
      </c>
      <c r="B243" s="44" t="s">
        <v>1761</v>
      </c>
      <c r="C243" s="53">
        <v>32.698</v>
      </c>
      <c r="D243" s="53">
        <v>-117.148</v>
      </c>
      <c r="E243" s="4" t="s">
        <v>329</v>
      </c>
      <c r="F243" s="46" t="s">
        <v>1727</v>
      </c>
      <c r="G243" s="64" t="s">
        <v>688</v>
      </c>
      <c r="H243" s="4" t="s">
        <v>146</v>
      </c>
      <c r="I243" s="4" t="s">
        <v>109</v>
      </c>
      <c r="J243" s="4" t="s">
        <v>109</v>
      </c>
      <c r="K243" s="4" t="s">
        <v>1728</v>
      </c>
      <c r="L243" s="4" t="s">
        <v>251</v>
      </c>
      <c r="M243" s="4" t="s">
        <v>109</v>
      </c>
      <c r="N243" s="4" t="s">
        <v>109</v>
      </c>
      <c r="O243" s="69">
        <v>45367</v>
      </c>
      <c r="Q243" s="4" t="s">
        <v>109</v>
      </c>
      <c r="R243" s="4" t="s">
        <v>109</v>
      </c>
      <c r="S243" s="4" t="s">
        <v>109</v>
      </c>
      <c r="T243" s="4" t="s">
        <v>109</v>
      </c>
      <c r="U243" s="4" t="s">
        <v>116</v>
      </c>
      <c r="V243" s="4" t="s">
        <v>3022</v>
      </c>
      <c r="W243" s="4" t="b">
        <v>0</v>
      </c>
      <c r="X243" s="4" t="s">
        <v>109</v>
      </c>
      <c r="Y243" s="4" t="s">
        <v>902</v>
      </c>
      <c r="AA243" s="4">
        <v>0.1</v>
      </c>
      <c r="AB243" s="4" t="s">
        <v>109</v>
      </c>
      <c r="AC243" s="4" t="s">
        <v>304</v>
      </c>
      <c r="AD243" s="4" t="s">
        <v>109</v>
      </c>
      <c r="AE243" s="4">
        <v>1.1000000000000001</v>
      </c>
      <c r="AF243" s="4" t="s">
        <v>3924</v>
      </c>
      <c r="AG243" s="5" t="s">
        <v>3908</v>
      </c>
      <c r="AH243" s="5" t="s">
        <v>3925</v>
      </c>
      <c r="AI243" s="4">
        <v>1</v>
      </c>
      <c r="AJ243" s="4" t="s">
        <v>3909</v>
      </c>
      <c r="AK243" s="4" t="s">
        <v>121</v>
      </c>
      <c r="AL243" s="4" t="s">
        <v>3027</v>
      </c>
      <c r="AM243" s="69">
        <v>42046</v>
      </c>
      <c r="AN243" s="4" t="s">
        <v>122</v>
      </c>
      <c r="AO243" s="4" t="s">
        <v>109</v>
      </c>
      <c r="AP243" s="217" t="s">
        <v>109</v>
      </c>
      <c r="AQ243" s="4" t="b">
        <v>0</v>
      </c>
      <c r="AR243" s="4" t="s">
        <v>109</v>
      </c>
      <c r="AS243" s="4" t="s">
        <v>109</v>
      </c>
      <c r="AT243" s="4" t="s">
        <v>109</v>
      </c>
      <c r="AU243" s="4" t="b">
        <v>0</v>
      </c>
      <c r="AV243" s="4" t="s">
        <v>109</v>
      </c>
      <c r="AW243" s="4" t="s">
        <v>109</v>
      </c>
      <c r="AY243" s="4" t="s">
        <v>109</v>
      </c>
      <c r="AZ243" s="4" t="s">
        <v>109</v>
      </c>
      <c r="BA243" s="4" t="s">
        <v>109</v>
      </c>
      <c r="BB243" s="4" t="s">
        <v>109</v>
      </c>
      <c r="BC243" s="4" t="s">
        <v>135</v>
      </c>
      <c r="BD243" s="4" t="s">
        <v>109</v>
      </c>
      <c r="BE243" s="4" t="s">
        <v>109</v>
      </c>
      <c r="BF243" s="4" t="s">
        <v>109</v>
      </c>
      <c r="BG243" s="4" t="s">
        <v>126</v>
      </c>
      <c r="BH243" s="4" t="s">
        <v>109</v>
      </c>
      <c r="BI243" s="69">
        <v>45236</v>
      </c>
      <c r="BJ243" s="69">
        <v>42369</v>
      </c>
      <c r="BK243" s="69">
        <v>45823</v>
      </c>
      <c r="BL243" s="97" t="s">
        <v>240</v>
      </c>
      <c r="BM243" s="4" t="s">
        <v>109</v>
      </c>
      <c r="BN243" s="6" t="b">
        <v>1</v>
      </c>
      <c r="BO243" s="130" t="s">
        <v>118</v>
      </c>
      <c r="BP243" s="4" t="s">
        <v>128</v>
      </c>
      <c r="CF243" s="4">
        <v>2025</v>
      </c>
      <c r="CS243" s="143" t="s">
        <v>1769</v>
      </c>
      <c r="CU243" s="216" t="s">
        <v>3187</v>
      </c>
      <c r="CW243" s="4" t="s">
        <v>3926</v>
      </c>
      <c r="CX243" s="39"/>
    </row>
    <row r="244" spans="1:102" x14ac:dyDescent="0.3">
      <c r="A244" s="2">
        <v>278</v>
      </c>
      <c r="B244" s="43" t="s">
        <v>1770</v>
      </c>
      <c r="C244" s="51">
        <v>32.698999999999998</v>
      </c>
      <c r="D244" s="51">
        <v>-117.14100000000001</v>
      </c>
      <c r="E244" s="2" t="s">
        <v>329</v>
      </c>
      <c r="F244" s="47" t="s">
        <v>1727</v>
      </c>
      <c r="G244" s="67" t="s">
        <v>688</v>
      </c>
      <c r="H244" s="2" t="s">
        <v>146</v>
      </c>
      <c r="I244" s="2" t="s">
        <v>109</v>
      </c>
      <c r="J244" s="2" t="s">
        <v>109</v>
      </c>
      <c r="K244" s="2" t="s">
        <v>1728</v>
      </c>
      <c r="L244" s="2" t="s">
        <v>251</v>
      </c>
      <c r="M244" s="2" t="s">
        <v>109</v>
      </c>
      <c r="N244" s="2" t="s">
        <v>109</v>
      </c>
      <c r="O244" s="68">
        <v>45330.5</v>
      </c>
      <c r="Q244" s="2" t="s">
        <v>109</v>
      </c>
      <c r="R244" s="2" t="s">
        <v>109</v>
      </c>
      <c r="S244" s="2" t="s">
        <v>109</v>
      </c>
      <c r="T244" s="2" t="s">
        <v>109</v>
      </c>
      <c r="U244" s="2" t="s">
        <v>116</v>
      </c>
      <c r="V244" s="2" t="s">
        <v>3022</v>
      </c>
      <c r="W244" s="2" t="b">
        <v>0</v>
      </c>
      <c r="X244" s="2" t="s">
        <v>109</v>
      </c>
      <c r="Y244" s="2" t="s">
        <v>902</v>
      </c>
      <c r="AA244" s="2" t="s">
        <v>109</v>
      </c>
      <c r="AB244" s="2" t="s">
        <v>109</v>
      </c>
      <c r="AC244" s="2" t="s">
        <v>304</v>
      </c>
      <c r="AD244" s="2" t="s">
        <v>109</v>
      </c>
      <c r="AE244" s="2">
        <v>1.1000000000000001</v>
      </c>
      <c r="AF244" s="2" t="s">
        <v>3927</v>
      </c>
      <c r="AG244" s="3" t="s">
        <v>3908</v>
      </c>
      <c r="AH244" s="3" t="s">
        <v>3928</v>
      </c>
      <c r="AI244" s="2">
        <v>1</v>
      </c>
      <c r="AJ244" s="2" t="s">
        <v>3909</v>
      </c>
      <c r="AK244" s="2" t="s">
        <v>121</v>
      </c>
      <c r="AL244" s="2" t="s">
        <v>3027</v>
      </c>
      <c r="AM244" s="68">
        <v>42164</v>
      </c>
      <c r="AN244" s="2" t="s">
        <v>122</v>
      </c>
      <c r="AO244" s="2" t="s">
        <v>109</v>
      </c>
      <c r="AP244" s="109" t="s">
        <v>109</v>
      </c>
      <c r="AQ244" s="2" t="b">
        <v>0</v>
      </c>
      <c r="AR244" s="2" t="s">
        <v>109</v>
      </c>
      <c r="AS244" s="2" t="s">
        <v>109</v>
      </c>
      <c r="AT244" s="2" t="s">
        <v>109</v>
      </c>
      <c r="AU244" s="2" t="b">
        <v>0</v>
      </c>
      <c r="AV244" s="2" t="s">
        <v>109</v>
      </c>
      <c r="AW244" s="2" t="s">
        <v>109</v>
      </c>
      <c r="AY244" s="2" t="s">
        <v>109</v>
      </c>
      <c r="AZ244" s="2" t="s">
        <v>109</v>
      </c>
      <c r="BA244" s="2" t="s">
        <v>109</v>
      </c>
      <c r="BB244" s="2" t="s">
        <v>109</v>
      </c>
      <c r="BC244" s="2" t="s">
        <v>135</v>
      </c>
      <c r="BD244" s="2" t="s">
        <v>109</v>
      </c>
      <c r="BE244" s="2" t="s">
        <v>109</v>
      </c>
      <c r="BF244" s="2" t="s">
        <v>109</v>
      </c>
      <c r="BG244" s="2" t="s">
        <v>126</v>
      </c>
      <c r="BH244" s="2" t="s">
        <v>109</v>
      </c>
      <c r="BI244" s="68">
        <v>43942</v>
      </c>
      <c r="BJ244" s="68">
        <v>43100</v>
      </c>
      <c r="BK244" s="68">
        <v>44099</v>
      </c>
      <c r="BL244" s="98" t="s">
        <v>109</v>
      </c>
      <c r="BM244" s="2" t="s">
        <v>109</v>
      </c>
      <c r="BN244" s="98" t="b">
        <v>0</v>
      </c>
      <c r="BO244" s="85" t="s">
        <v>118</v>
      </c>
      <c r="BP244" s="2" t="s">
        <v>128</v>
      </c>
      <c r="CF244" s="2" t="s">
        <v>469</v>
      </c>
      <c r="CS244" s="145"/>
      <c r="CU244" s="132" t="s">
        <v>3187</v>
      </c>
      <c r="CW244" s="2" t="s">
        <v>3929</v>
      </c>
      <c r="CX244" s="38"/>
    </row>
    <row r="245" spans="1:102" x14ac:dyDescent="0.3">
      <c r="A245" s="4">
        <v>279</v>
      </c>
      <c r="B245" s="44" t="s">
        <v>1776</v>
      </c>
      <c r="C245" s="53">
        <v>32.841000000000001</v>
      </c>
      <c r="D245" s="53">
        <v>-117.248</v>
      </c>
      <c r="E245" s="4" t="s">
        <v>329</v>
      </c>
      <c r="F245" s="46" t="s">
        <v>1727</v>
      </c>
      <c r="G245" s="64" t="s">
        <v>688</v>
      </c>
      <c r="H245" s="4" t="s">
        <v>146</v>
      </c>
      <c r="I245" s="4" t="s">
        <v>109</v>
      </c>
      <c r="J245" s="4" t="s">
        <v>109</v>
      </c>
      <c r="K245" s="4" t="s">
        <v>1728</v>
      </c>
      <c r="L245" s="4" t="s">
        <v>251</v>
      </c>
      <c r="M245" s="4" t="s">
        <v>109</v>
      </c>
      <c r="N245" s="4" t="s">
        <v>109</v>
      </c>
      <c r="O245" s="69">
        <v>45363.5</v>
      </c>
      <c r="Q245" s="4" t="s">
        <v>109</v>
      </c>
      <c r="R245" s="4" t="s">
        <v>109</v>
      </c>
      <c r="S245" s="4" t="s">
        <v>109</v>
      </c>
      <c r="T245" s="4" t="s">
        <v>109</v>
      </c>
      <c r="U245" s="4" t="s">
        <v>116</v>
      </c>
      <c r="V245" s="4" t="s">
        <v>3022</v>
      </c>
      <c r="W245" s="4" t="b">
        <v>0</v>
      </c>
      <c r="X245" s="4" t="s">
        <v>109</v>
      </c>
      <c r="Y245" s="4" t="s">
        <v>902</v>
      </c>
      <c r="AA245" s="4" t="s">
        <v>109</v>
      </c>
      <c r="AB245" s="4" t="s">
        <v>109</v>
      </c>
      <c r="AC245" s="4" t="s">
        <v>304</v>
      </c>
      <c r="AD245" s="4" t="s">
        <v>109</v>
      </c>
      <c r="AE245" s="4">
        <v>1.1000000000000001</v>
      </c>
      <c r="AF245" s="4" t="s">
        <v>3930</v>
      </c>
      <c r="AG245" s="5" t="s">
        <v>3908</v>
      </c>
      <c r="AH245" s="5" t="s">
        <v>3931</v>
      </c>
      <c r="AI245" s="4">
        <v>1</v>
      </c>
      <c r="AJ245" s="4" t="s">
        <v>3909</v>
      </c>
      <c r="AK245" s="4" t="s">
        <v>121</v>
      </c>
      <c r="AL245" s="4" t="s">
        <v>3027</v>
      </c>
      <c r="AM245" s="69">
        <v>42332</v>
      </c>
      <c r="AN245" s="4" t="s">
        <v>122</v>
      </c>
      <c r="AO245" s="4" t="s">
        <v>109</v>
      </c>
      <c r="AP245" s="217" t="s">
        <v>109</v>
      </c>
      <c r="AQ245" s="4" t="b">
        <v>0</v>
      </c>
      <c r="AR245" s="4" t="s">
        <v>109</v>
      </c>
      <c r="AS245" s="4" t="s">
        <v>109</v>
      </c>
      <c r="AT245" s="4" t="s">
        <v>109</v>
      </c>
      <c r="AU245" s="4" t="b">
        <v>0</v>
      </c>
      <c r="AV245" s="4" t="s">
        <v>109</v>
      </c>
      <c r="AW245" s="4" t="s">
        <v>109</v>
      </c>
      <c r="AY245" s="4" t="s">
        <v>109</v>
      </c>
      <c r="AZ245" s="4" t="s">
        <v>109</v>
      </c>
      <c r="BA245" s="4" t="s">
        <v>109</v>
      </c>
      <c r="BB245" s="4" t="s">
        <v>109</v>
      </c>
      <c r="BC245" s="4" t="s">
        <v>135</v>
      </c>
      <c r="BD245" s="4" t="s">
        <v>109</v>
      </c>
      <c r="BE245" s="4" t="s">
        <v>109</v>
      </c>
      <c r="BF245" s="4" t="s">
        <v>109</v>
      </c>
      <c r="BG245" s="4" t="s">
        <v>126</v>
      </c>
      <c r="BH245" s="4" t="s">
        <v>109</v>
      </c>
      <c r="BI245" s="69">
        <v>43750</v>
      </c>
      <c r="BJ245" s="69">
        <v>43100</v>
      </c>
      <c r="BK245" s="69">
        <v>43952</v>
      </c>
      <c r="BL245" s="97" t="s">
        <v>109</v>
      </c>
      <c r="BM245" s="4" t="s">
        <v>109</v>
      </c>
      <c r="BN245" s="97" t="b">
        <v>0</v>
      </c>
      <c r="BO245" s="130" t="s">
        <v>118</v>
      </c>
      <c r="BP245" s="4" t="s">
        <v>128</v>
      </c>
      <c r="CF245" s="4" t="s">
        <v>807</v>
      </c>
      <c r="CS245" s="144"/>
      <c r="CU245" s="216" t="s">
        <v>3187</v>
      </c>
      <c r="CW245" s="4" t="s">
        <v>3932</v>
      </c>
      <c r="CX245" s="39"/>
    </row>
    <row r="246" spans="1:102" x14ac:dyDescent="0.3">
      <c r="A246" s="2">
        <v>280</v>
      </c>
      <c r="B246" s="43" t="s">
        <v>1781</v>
      </c>
      <c r="C246" s="51">
        <v>33.197000000000003</v>
      </c>
      <c r="D246" s="51">
        <v>-117.279</v>
      </c>
      <c r="E246" s="2" t="s">
        <v>353</v>
      </c>
      <c r="F246" s="47" t="s">
        <v>1727</v>
      </c>
      <c r="G246" s="67" t="s">
        <v>688</v>
      </c>
      <c r="H246" s="2" t="s">
        <v>146</v>
      </c>
      <c r="I246" s="2" t="s">
        <v>109</v>
      </c>
      <c r="J246" s="2" t="s">
        <v>109</v>
      </c>
      <c r="K246" s="2" t="s">
        <v>1728</v>
      </c>
      <c r="L246" s="2" t="s">
        <v>251</v>
      </c>
      <c r="M246" s="2" t="s">
        <v>109</v>
      </c>
      <c r="N246" s="2" t="s">
        <v>109</v>
      </c>
      <c r="O246" s="68">
        <v>45436</v>
      </c>
      <c r="Q246" s="2" t="s">
        <v>109</v>
      </c>
      <c r="R246" s="2" t="s">
        <v>109</v>
      </c>
      <c r="S246" s="2" t="s">
        <v>109</v>
      </c>
      <c r="T246" s="2" t="s">
        <v>109</v>
      </c>
      <c r="U246" s="2" t="s">
        <v>116</v>
      </c>
      <c r="V246" s="2" t="s">
        <v>3022</v>
      </c>
      <c r="W246" s="2" t="b">
        <v>0</v>
      </c>
      <c r="X246" s="2" t="s">
        <v>109</v>
      </c>
      <c r="Y246" s="2" t="s">
        <v>902</v>
      </c>
      <c r="AA246" s="2" t="s">
        <v>109</v>
      </c>
      <c r="AB246" s="2" t="s">
        <v>109</v>
      </c>
      <c r="AC246" s="2" t="s">
        <v>304</v>
      </c>
      <c r="AD246" s="2" t="s">
        <v>109</v>
      </c>
      <c r="AE246" s="2">
        <v>1.1000000000000001</v>
      </c>
      <c r="AF246" s="2" t="s">
        <v>3933</v>
      </c>
      <c r="AG246" s="3" t="s">
        <v>3908</v>
      </c>
      <c r="AH246" s="3" t="s">
        <v>3934</v>
      </c>
      <c r="AI246" s="2">
        <v>1</v>
      </c>
      <c r="AJ246" s="2" t="s">
        <v>3909</v>
      </c>
      <c r="AK246" s="2" t="s">
        <v>121</v>
      </c>
      <c r="AL246" s="2" t="s">
        <v>3027</v>
      </c>
      <c r="AM246" s="68">
        <v>42909</v>
      </c>
      <c r="AN246" s="2" t="s">
        <v>122</v>
      </c>
      <c r="AO246" s="2" t="s">
        <v>109</v>
      </c>
      <c r="AP246" s="109" t="s">
        <v>109</v>
      </c>
      <c r="AQ246" s="2" t="b">
        <v>0</v>
      </c>
      <c r="AR246" s="2" t="s">
        <v>109</v>
      </c>
      <c r="AS246" s="2" t="s">
        <v>109</v>
      </c>
      <c r="AT246" s="2" t="s">
        <v>109</v>
      </c>
      <c r="AU246" s="2" t="b">
        <v>0</v>
      </c>
      <c r="AV246" s="2" t="s">
        <v>109</v>
      </c>
      <c r="AW246" s="2" t="s">
        <v>109</v>
      </c>
      <c r="AY246" s="2" t="s">
        <v>109</v>
      </c>
      <c r="AZ246" s="2" t="s">
        <v>109</v>
      </c>
      <c r="BA246" s="2" t="s">
        <v>109</v>
      </c>
      <c r="BB246" s="2" t="s">
        <v>109</v>
      </c>
      <c r="BC246" s="2" t="s">
        <v>135</v>
      </c>
      <c r="BD246" s="2" t="s">
        <v>109</v>
      </c>
      <c r="BE246" s="2" t="s">
        <v>109</v>
      </c>
      <c r="BF246" s="2" t="s">
        <v>109</v>
      </c>
      <c r="BG246" s="2" t="s">
        <v>126</v>
      </c>
      <c r="BH246" s="2" t="s">
        <v>109</v>
      </c>
      <c r="BI246" s="68">
        <v>43645</v>
      </c>
      <c r="BJ246" s="68">
        <v>44926</v>
      </c>
      <c r="BK246" s="68">
        <v>44010</v>
      </c>
      <c r="BL246" s="98" t="s">
        <v>109</v>
      </c>
      <c r="BM246" s="2" t="s">
        <v>109</v>
      </c>
      <c r="BN246" s="2" t="b">
        <v>1</v>
      </c>
      <c r="BO246" s="85" t="s">
        <v>118</v>
      </c>
      <c r="BP246" s="2" t="s">
        <v>128</v>
      </c>
      <c r="CF246" s="2" t="s">
        <v>528</v>
      </c>
      <c r="CS246" s="145"/>
      <c r="CU246" s="132" t="s">
        <v>3187</v>
      </c>
      <c r="CW246" s="2" t="s">
        <v>3935</v>
      </c>
      <c r="CX246" s="38"/>
    </row>
    <row r="247" spans="1:102" x14ac:dyDescent="0.3">
      <c r="A247" s="4">
        <v>281</v>
      </c>
      <c r="B247" s="44" t="s">
        <v>1786</v>
      </c>
      <c r="C247" s="53">
        <v>32.729999999999997</v>
      </c>
      <c r="D247" s="53">
        <v>-117.113</v>
      </c>
      <c r="E247" s="4" t="s">
        <v>329</v>
      </c>
      <c r="F247" s="46" t="s">
        <v>1727</v>
      </c>
      <c r="G247" s="64" t="s">
        <v>688</v>
      </c>
      <c r="H247" s="4" t="s">
        <v>146</v>
      </c>
      <c r="I247" s="4" t="s">
        <v>109</v>
      </c>
      <c r="J247" s="4" t="s">
        <v>109</v>
      </c>
      <c r="K247" s="4" t="s">
        <v>1728</v>
      </c>
      <c r="L247" s="4" t="s">
        <v>251</v>
      </c>
      <c r="M247" s="4" t="s">
        <v>109</v>
      </c>
      <c r="N247" s="4" t="s">
        <v>109</v>
      </c>
      <c r="O247" s="69">
        <v>45367</v>
      </c>
      <c r="Q247" s="4" t="s">
        <v>109</v>
      </c>
      <c r="R247" s="4" t="s">
        <v>109</v>
      </c>
      <c r="S247" s="4" t="s">
        <v>109</v>
      </c>
      <c r="T247" s="4" t="s">
        <v>109</v>
      </c>
      <c r="U247" s="4" t="s">
        <v>116</v>
      </c>
      <c r="V247" s="4" t="s">
        <v>3022</v>
      </c>
      <c r="W247" s="4" t="b">
        <v>0</v>
      </c>
      <c r="X247" s="4" t="s">
        <v>109</v>
      </c>
      <c r="Y247" s="4" t="s">
        <v>902</v>
      </c>
      <c r="AA247" s="4" t="s">
        <v>109</v>
      </c>
      <c r="AB247" s="4" t="s">
        <v>109</v>
      </c>
      <c r="AC247" s="4" t="s">
        <v>304</v>
      </c>
      <c r="AD247" s="4" t="s">
        <v>109</v>
      </c>
      <c r="AE247" s="4">
        <v>1.1000000000000001</v>
      </c>
      <c r="AF247" s="4" t="s">
        <v>3936</v>
      </c>
      <c r="AG247" s="5" t="s">
        <v>3908</v>
      </c>
      <c r="AH247" s="5" t="s">
        <v>3937</v>
      </c>
      <c r="AI247" s="4">
        <v>1</v>
      </c>
      <c r="AJ247" s="4" t="s">
        <v>3909</v>
      </c>
      <c r="AK247" s="4" t="s">
        <v>121</v>
      </c>
      <c r="AL247" s="4" t="s">
        <v>3027</v>
      </c>
      <c r="AM247" s="69">
        <v>43131</v>
      </c>
      <c r="AN247" s="4" t="s">
        <v>122</v>
      </c>
      <c r="AO247" s="4" t="s">
        <v>109</v>
      </c>
      <c r="AP247" s="217" t="s">
        <v>109</v>
      </c>
      <c r="AQ247" s="4" t="b">
        <v>0</v>
      </c>
      <c r="AR247" s="4" t="s">
        <v>109</v>
      </c>
      <c r="AS247" s="4" t="s">
        <v>109</v>
      </c>
      <c r="AT247" s="4" t="s">
        <v>109</v>
      </c>
      <c r="AU247" s="4" t="b">
        <v>0</v>
      </c>
      <c r="AV247" s="4" t="s">
        <v>109</v>
      </c>
      <c r="AW247" s="4" t="s">
        <v>109</v>
      </c>
      <c r="AY247" s="4" t="s">
        <v>109</v>
      </c>
      <c r="AZ247" s="4" t="s">
        <v>109</v>
      </c>
      <c r="BA247" s="4" t="s">
        <v>109</v>
      </c>
      <c r="BB247" s="4" t="s">
        <v>109</v>
      </c>
      <c r="BC247" s="4" t="s">
        <v>135</v>
      </c>
      <c r="BD247" s="4" t="s">
        <v>109</v>
      </c>
      <c r="BE247" s="4" t="s">
        <v>109</v>
      </c>
      <c r="BF247" s="4" t="s">
        <v>109</v>
      </c>
      <c r="BG247" s="4" t="s">
        <v>126</v>
      </c>
      <c r="BH247" s="4" t="s">
        <v>109</v>
      </c>
      <c r="BI247" s="69">
        <v>44295</v>
      </c>
      <c r="BJ247" s="69">
        <v>43830</v>
      </c>
      <c r="BK247" s="69">
        <v>45067</v>
      </c>
      <c r="BL247" s="97" t="s">
        <v>109</v>
      </c>
      <c r="BM247" s="4" t="s">
        <v>109</v>
      </c>
      <c r="BN247" s="4" t="b">
        <v>1</v>
      </c>
      <c r="BO247" s="130" t="s">
        <v>118</v>
      </c>
      <c r="BP247" s="4" t="s">
        <v>128</v>
      </c>
      <c r="CF247" s="4" t="s">
        <v>270</v>
      </c>
      <c r="CS247" s="144"/>
      <c r="CU247" s="216" t="s">
        <v>3187</v>
      </c>
      <c r="CW247" s="4" t="s">
        <v>3938</v>
      </c>
      <c r="CX247" s="39"/>
    </row>
    <row r="248" spans="1:102" x14ac:dyDescent="0.3">
      <c r="A248" s="2">
        <v>282</v>
      </c>
      <c r="B248" s="43" t="s">
        <v>1791</v>
      </c>
      <c r="C248" s="51">
        <v>32.655999999999999</v>
      </c>
      <c r="D248" s="51">
        <v>-117.10599999999999</v>
      </c>
      <c r="E248" s="2" t="s">
        <v>1414</v>
      </c>
      <c r="F248" s="47" t="s">
        <v>1727</v>
      </c>
      <c r="G248" s="67" t="s">
        <v>688</v>
      </c>
      <c r="H248" s="2" t="s">
        <v>146</v>
      </c>
      <c r="I248" s="2" t="s">
        <v>109</v>
      </c>
      <c r="J248" s="2" t="s">
        <v>109</v>
      </c>
      <c r="K248" s="2" t="s">
        <v>1728</v>
      </c>
      <c r="L248" s="2" t="s">
        <v>251</v>
      </c>
      <c r="M248" s="2" t="s">
        <v>109</v>
      </c>
      <c r="N248" s="2" t="s">
        <v>109</v>
      </c>
      <c r="O248" s="68">
        <v>45344</v>
      </c>
      <c r="Q248" s="2" t="s">
        <v>109</v>
      </c>
      <c r="R248" s="2" t="s">
        <v>109</v>
      </c>
      <c r="S248" s="2" t="s">
        <v>109</v>
      </c>
      <c r="T248" s="2" t="s">
        <v>109</v>
      </c>
      <c r="U248" s="2" t="s">
        <v>116</v>
      </c>
      <c r="V248" s="2" t="s">
        <v>3022</v>
      </c>
      <c r="W248" s="2" t="b">
        <v>0</v>
      </c>
      <c r="X248" s="2" t="s">
        <v>109</v>
      </c>
      <c r="Y248" s="2" t="s">
        <v>902</v>
      </c>
      <c r="AA248" s="2" t="s">
        <v>109</v>
      </c>
      <c r="AB248" s="2" t="s">
        <v>109</v>
      </c>
      <c r="AC248" s="2" t="s">
        <v>304</v>
      </c>
      <c r="AD248" s="2" t="s">
        <v>109</v>
      </c>
      <c r="AE248" s="2">
        <v>1.1000000000000001</v>
      </c>
      <c r="AF248" s="2" t="s">
        <v>3939</v>
      </c>
      <c r="AG248" s="3" t="s">
        <v>3908</v>
      </c>
      <c r="AH248" s="3" t="s">
        <v>3940</v>
      </c>
      <c r="AI248" s="2">
        <v>1</v>
      </c>
      <c r="AJ248" s="2" t="s">
        <v>3909</v>
      </c>
      <c r="AK248" s="2" t="s">
        <v>121</v>
      </c>
      <c r="AL248" s="2" t="s">
        <v>3027</v>
      </c>
      <c r="AM248" s="68">
        <v>44741</v>
      </c>
      <c r="AN248" s="2" t="s">
        <v>122</v>
      </c>
      <c r="AO248" s="2" t="s">
        <v>109</v>
      </c>
      <c r="AP248" s="109" t="s">
        <v>109</v>
      </c>
      <c r="AQ248" s="2" t="b">
        <v>0</v>
      </c>
      <c r="AR248" s="2" t="s">
        <v>109</v>
      </c>
      <c r="AS248" s="2" t="s">
        <v>109</v>
      </c>
      <c r="AT248" s="2" t="s">
        <v>109</v>
      </c>
      <c r="AU248" s="2" t="b">
        <v>0</v>
      </c>
      <c r="AV248" s="2" t="s">
        <v>109</v>
      </c>
      <c r="AW248" s="2" t="s">
        <v>109</v>
      </c>
      <c r="AY248" s="2" t="s">
        <v>109</v>
      </c>
      <c r="AZ248" s="2" t="s">
        <v>109</v>
      </c>
      <c r="BA248" s="2" t="s">
        <v>109</v>
      </c>
      <c r="BB248" s="2" t="s">
        <v>109</v>
      </c>
      <c r="BC248" s="2" t="s">
        <v>135</v>
      </c>
      <c r="BD248" s="2" t="s">
        <v>109</v>
      </c>
      <c r="BE248" s="2" t="s">
        <v>109</v>
      </c>
      <c r="BF248" s="2" t="s">
        <v>109</v>
      </c>
      <c r="BG248" s="2" t="s">
        <v>296</v>
      </c>
      <c r="BH248" s="2" t="s">
        <v>109</v>
      </c>
      <c r="BI248" s="68" t="s">
        <v>458</v>
      </c>
      <c r="BJ248" s="68">
        <v>44430</v>
      </c>
      <c r="BK248" s="68" t="s">
        <v>458</v>
      </c>
      <c r="BL248" s="98" t="s">
        <v>109</v>
      </c>
      <c r="BM248" s="2" t="s">
        <v>109</v>
      </c>
      <c r="BN248" s="98" t="b">
        <v>0</v>
      </c>
      <c r="BO248" s="85" t="s">
        <v>118</v>
      </c>
      <c r="BP248" s="2" t="s">
        <v>128</v>
      </c>
      <c r="CF248" s="2" t="s">
        <v>336</v>
      </c>
      <c r="CS248" s="145"/>
      <c r="CU248" s="132" t="s">
        <v>3187</v>
      </c>
      <c r="CW248" s="2" t="s">
        <v>3941</v>
      </c>
      <c r="CX248" s="38"/>
    </row>
    <row r="249" spans="1:102" x14ac:dyDescent="0.3">
      <c r="A249" s="4">
        <v>283</v>
      </c>
      <c r="B249" s="44" t="s">
        <v>1796</v>
      </c>
      <c r="C249" s="53">
        <v>32.723999999999997</v>
      </c>
      <c r="D249" s="53">
        <v>-117.126</v>
      </c>
      <c r="E249" s="4" t="s">
        <v>329</v>
      </c>
      <c r="F249" s="46" t="s">
        <v>1727</v>
      </c>
      <c r="G249" s="64" t="s">
        <v>688</v>
      </c>
      <c r="H249" s="4" t="s">
        <v>146</v>
      </c>
      <c r="I249" s="4" t="s">
        <v>109</v>
      </c>
      <c r="J249" s="4" t="s">
        <v>109</v>
      </c>
      <c r="K249" s="4" t="s">
        <v>1728</v>
      </c>
      <c r="L249" s="4" t="s">
        <v>251</v>
      </c>
      <c r="M249" s="4" t="s">
        <v>109</v>
      </c>
      <c r="N249" s="4" t="s">
        <v>109</v>
      </c>
      <c r="O249" s="69">
        <v>45363</v>
      </c>
      <c r="Q249" s="4" t="s">
        <v>109</v>
      </c>
      <c r="R249" s="4" t="s">
        <v>109</v>
      </c>
      <c r="S249" s="4" t="s">
        <v>109</v>
      </c>
      <c r="T249" s="4" t="s">
        <v>109</v>
      </c>
      <c r="U249" s="4" t="s">
        <v>116</v>
      </c>
      <c r="V249" s="4" t="s">
        <v>3022</v>
      </c>
      <c r="W249" s="4" t="b">
        <v>0</v>
      </c>
      <c r="X249" s="4" t="s">
        <v>109</v>
      </c>
      <c r="Y249" s="4" t="s">
        <v>902</v>
      </c>
      <c r="AA249" s="4" t="s">
        <v>109</v>
      </c>
      <c r="AB249" s="4" t="s">
        <v>109</v>
      </c>
      <c r="AC249" s="4" t="s">
        <v>304</v>
      </c>
      <c r="AD249" s="4" t="s">
        <v>109</v>
      </c>
      <c r="AE249" s="4">
        <v>1.1000000000000001</v>
      </c>
      <c r="AF249" s="4" t="s">
        <v>3942</v>
      </c>
      <c r="AG249" s="5" t="s">
        <v>3908</v>
      </c>
      <c r="AH249" s="5" t="s">
        <v>3943</v>
      </c>
      <c r="AI249" s="4">
        <v>1</v>
      </c>
      <c r="AJ249" s="4" t="s">
        <v>3909</v>
      </c>
      <c r="AK249" s="4" t="s">
        <v>121</v>
      </c>
      <c r="AL249" s="4" t="s">
        <v>3027</v>
      </c>
      <c r="AM249" s="69">
        <v>44062</v>
      </c>
      <c r="AN249" s="4" t="s">
        <v>122</v>
      </c>
      <c r="AO249" s="4" t="s">
        <v>109</v>
      </c>
      <c r="AP249" s="217" t="s">
        <v>109</v>
      </c>
      <c r="AQ249" s="4" t="b">
        <v>0</v>
      </c>
      <c r="AR249" s="4" t="s">
        <v>109</v>
      </c>
      <c r="AS249" s="4" t="s">
        <v>109</v>
      </c>
      <c r="AT249" s="4" t="s">
        <v>109</v>
      </c>
      <c r="AU249" s="4" t="b">
        <v>0</v>
      </c>
      <c r="AV249" s="4" t="s">
        <v>109</v>
      </c>
      <c r="AW249" s="4" t="s">
        <v>109</v>
      </c>
      <c r="AY249" s="4" t="s">
        <v>109</v>
      </c>
      <c r="AZ249" s="4" t="s">
        <v>109</v>
      </c>
      <c r="BA249" s="4" t="s">
        <v>109</v>
      </c>
      <c r="BB249" s="4" t="s">
        <v>109</v>
      </c>
      <c r="BC249" s="4" t="s">
        <v>135</v>
      </c>
      <c r="BD249" s="4" t="s">
        <v>109</v>
      </c>
      <c r="BE249" s="4" t="s">
        <v>109</v>
      </c>
      <c r="BF249" s="4" t="s">
        <v>109</v>
      </c>
      <c r="BG249" s="4" t="s">
        <v>126</v>
      </c>
      <c r="BH249" s="4" t="s">
        <v>109</v>
      </c>
      <c r="BI249" s="69">
        <v>44196</v>
      </c>
      <c r="BJ249" s="69">
        <v>44196</v>
      </c>
      <c r="BK249" s="69">
        <v>44333</v>
      </c>
      <c r="BL249" s="97" t="s">
        <v>109</v>
      </c>
      <c r="BM249" s="4" t="s">
        <v>109</v>
      </c>
      <c r="BN249" s="4" t="b">
        <v>1</v>
      </c>
      <c r="BO249" s="130" t="s">
        <v>118</v>
      </c>
      <c r="BP249" s="4" t="s">
        <v>128</v>
      </c>
      <c r="CF249" s="4" t="s">
        <v>460</v>
      </c>
      <c r="CS249" s="144"/>
      <c r="CU249" s="216" t="s">
        <v>3187</v>
      </c>
      <c r="CW249" s="4" t="s">
        <v>3258</v>
      </c>
      <c r="CX249" s="39"/>
    </row>
    <row r="250" spans="1:102" ht="66" x14ac:dyDescent="0.3">
      <c r="A250" s="2">
        <v>284</v>
      </c>
      <c r="B250" s="43" t="s">
        <v>1798</v>
      </c>
      <c r="C250" s="52" t="s">
        <v>109</v>
      </c>
      <c r="D250" s="2" t="s">
        <v>109</v>
      </c>
      <c r="E250" s="2" t="s">
        <v>109</v>
      </c>
      <c r="F250" s="47" t="s">
        <v>1727</v>
      </c>
      <c r="G250" s="67" t="s">
        <v>688</v>
      </c>
      <c r="H250" s="2" t="s">
        <v>146</v>
      </c>
      <c r="I250" s="2" t="s">
        <v>109</v>
      </c>
      <c r="J250" s="2" t="s">
        <v>109</v>
      </c>
      <c r="K250" s="2" t="s">
        <v>1728</v>
      </c>
      <c r="L250" s="2" t="s">
        <v>251</v>
      </c>
      <c r="M250" s="2" t="s">
        <v>109</v>
      </c>
      <c r="N250" s="2" t="s">
        <v>109</v>
      </c>
      <c r="O250" s="68">
        <v>45367</v>
      </c>
      <c r="Q250" s="2" t="s">
        <v>109</v>
      </c>
      <c r="R250" s="2" t="s">
        <v>109</v>
      </c>
      <c r="S250" s="2" t="s">
        <v>109</v>
      </c>
      <c r="T250" s="2" t="s">
        <v>109</v>
      </c>
      <c r="U250" s="2" t="s">
        <v>116</v>
      </c>
      <c r="V250" s="2" t="s">
        <v>3022</v>
      </c>
      <c r="W250" s="2" t="b">
        <v>0</v>
      </c>
      <c r="X250" s="2" t="s">
        <v>109</v>
      </c>
      <c r="Y250" s="2" t="s">
        <v>902</v>
      </c>
      <c r="AA250" s="2" t="s">
        <v>109</v>
      </c>
      <c r="AB250" s="2" t="s">
        <v>109</v>
      </c>
      <c r="AC250" s="2" t="s">
        <v>304</v>
      </c>
      <c r="AD250" s="2" t="s">
        <v>109</v>
      </c>
      <c r="AE250" s="2">
        <v>1.1000000000000001</v>
      </c>
      <c r="AF250" s="2" t="s">
        <v>3944</v>
      </c>
      <c r="AG250" s="3" t="s">
        <v>3908</v>
      </c>
      <c r="AH250" s="3" t="s">
        <v>3945</v>
      </c>
      <c r="AI250" s="2">
        <v>1</v>
      </c>
      <c r="AJ250" s="2" t="s">
        <v>3909</v>
      </c>
      <c r="AK250" s="2" t="s">
        <v>121</v>
      </c>
      <c r="AL250" s="2" t="s">
        <v>3027</v>
      </c>
      <c r="AM250" s="68">
        <v>43690</v>
      </c>
      <c r="AN250" s="2" t="s">
        <v>122</v>
      </c>
      <c r="AO250" s="2" t="s">
        <v>109</v>
      </c>
      <c r="AP250" s="109" t="s">
        <v>109</v>
      </c>
      <c r="AQ250" s="2" t="b">
        <v>0</v>
      </c>
      <c r="AR250" s="2" t="s">
        <v>109</v>
      </c>
      <c r="AS250" s="2" t="s">
        <v>109</v>
      </c>
      <c r="AT250" s="2" t="s">
        <v>109</v>
      </c>
      <c r="AU250" s="2" t="b">
        <v>0</v>
      </c>
      <c r="AV250" s="2" t="s">
        <v>109</v>
      </c>
      <c r="AW250" s="2" t="s">
        <v>109</v>
      </c>
      <c r="AY250" s="2" t="s">
        <v>109</v>
      </c>
      <c r="AZ250" s="2" t="s">
        <v>109</v>
      </c>
      <c r="BA250" s="2" t="s">
        <v>109</v>
      </c>
      <c r="BB250" s="2" t="s">
        <v>109</v>
      </c>
      <c r="BC250" s="2" t="s">
        <v>135</v>
      </c>
      <c r="BD250" s="2" t="s">
        <v>109</v>
      </c>
      <c r="BE250" s="2" t="s">
        <v>109</v>
      </c>
      <c r="BF250" s="2" t="s">
        <v>109</v>
      </c>
      <c r="BG250" s="2" t="s">
        <v>126</v>
      </c>
      <c r="BH250" s="2" t="s">
        <v>109</v>
      </c>
      <c r="BI250" s="68">
        <v>44729</v>
      </c>
      <c r="BJ250" s="68">
        <v>44561</v>
      </c>
      <c r="BK250" s="68">
        <v>45040</v>
      </c>
      <c r="BL250" s="98" t="s">
        <v>109</v>
      </c>
      <c r="BM250" s="2" t="s">
        <v>109</v>
      </c>
      <c r="BN250" s="2" t="b">
        <v>1</v>
      </c>
      <c r="BO250" s="85" t="s">
        <v>118</v>
      </c>
      <c r="BP250" s="2" t="s">
        <v>128</v>
      </c>
      <c r="CF250" s="2" t="s">
        <v>174</v>
      </c>
      <c r="CS250" s="142" t="s">
        <v>1746</v>
      </c>
      <c r="CU250" s="132" t="s">
        <v>3187</v>
      </c>
      <c r="CW250" s="2" t="s">
        <v>3235</v>
      </c>
      <c r="CX250" s="38"/>
    </row>
    <row r="251" spans="1:102" x14ac:dyDescent="0.3">
      <c r="A251" s="4">
        <v>285</v>
      </c>
      <c r="B251" s="44" t="s">
        <v>1802</v>
      </c>
      <c r="C251" s="53">
        <v>32.813000000000002</v>
      </c>
      <c r="D251" s="53">
        <v>-117.19499999999999</v>
      </c>
      <c r="E251" s="4" t="s">
        <v>329</v>
      </c>
      <c r="F251" s="46" t="s">
        <v>1727</v>
      </c>
      <c r="G251" s="64" t="s">
        <v>688</v>
      </c>
      <c r="H251" s="4" t="s">
        <v>146</v>
      </c>
      <c r="I251" s="4" t="s">
        <v>109</v>
      </c>
      <c r="J251" s="4" t="s">
        <v>109</v>
      </c>
      <c r="K251" s="4" t="s">
        <v>1728</v>
      </c>
      <c r="L251" s="4" t="s">
        <v>251</v>
      </c>
      <c r="M251" s="4" t="s">
        <v>109</v>
      </c>
      <c r="N251" s="4" t="s">
        <v>109</v>
      </c>
      <c r="O251" s="69">
        <v>45363.5</v>
      </c>
      <c r="Q251" s="4" t="s">
        <v>109</v>
      </c>
      <c r="R251" s="4" t="s">
        <v>109</v>
      </c>
      <c r="S251" s="4" t="s">
        <v>109</v>
      </c>
      <c r="T251" s="4" t="s">
        <v>109</v>
      </c>
      <c r="U251" s="4" t="s">
        <v>116</v>
      </c>
      <c r="V251" s="4" t="s">
        <v>3022</v>
      </c>
      <c r="W251" s="4" t="b">
        <v>0</v>
      </c>
      <c r="X251" s="4" t="s">
        <v>109</v>
      </c>
      <c r="Y251" s="4" t="s">
        <v>902</v>
      </c>
      <c r="AA251" s="4" t="s">
        <v>109</v>
      </c>
      <c r="AB251" s="4" t="s">
        <v>109</v>
      </c>
      <c r="AC251" s="4" t="s">
        <v>304</v>
      </c>
      <c r="AD251" s="4" t="s">
        <v>109</v>
      </c>
      <c r="AE251" s="4">
        <v>1.1000000000000001</v>
      </c>
      <c r="AF251" s="4" t="s">
        <v>3946</v>
      </c>
      <c r="AG251" s="5" t="s">
        <v>3908</v>
      </c>
      <c r="AH251" s="5" t="s">
        <v>3947</v>
      </c>
      <c r="AI251" s="4">
        <v>1</v>
      </c>
      <c r="AJ251" s="4" t="s">
        <v>3909</v>
      </c>
      <c r="AK251" s="4" t="s">
        <v>121</v>
      </c>
      <c r="AL251" s="4" t="s">
        <v>3027</v>
      </c>
      <c r="AM251" s="69">
        <v>43735</v>
      </c>
      <c r="AN251" s="4" t="s">
        <v>122</v>
      </c>
      <c r="AO251" s="4" t="s">
        <v>109</v>
      </c>
      <c r="AP251" s="217" t="s">
        <v>109</v>
      </c>
      <c r="AQ251" s="4" t="b">
        <v>0</v>
      </c>
      <c r="AR251" s="4" t="s">
        <v>109</v>
      </c>
      <c r="AS251" s="4" t="s">
        <v>109</v>
      </c>
      <c r="AT251" s="4" t="s">
        <v>109</v>
      </c>
      <c r="AU251" s="4" t="b">
        <v>0</v>
      </c>
      <c r="AV251" s="4" t="s">
        <v>109</v>
      </c>
      <c r="AW251" s="4" t="s">
        <v>109</v>
      </c>
      <c r="AY251" s="4" t="s">
        <v>109</v>
      </c>
      <c r="AZ251" s="4" t="s">
        <v>109</v>
      </c>
      <c r="BA251" s="4" t="s">
        <v>109</v>
      </c>
      <c r="BB251" s="4" t="s">
        <v>109</v>
      </c>
      <c r="BC251" s="4" t="s">
        <v>135</v>
      </c>
      <c r="BD251" s="4" t="s">
        <v>109</v>
      </c>
      <c r="BE251" s="4" t="s">
        <v>109</v>
      </c>
      <c r="BF251" s="4" t="s">
        <v>109</v>
      </c>
      <c r="BG251" s="4" t="s">
        <v>126</v>
      </c>
      <c r="BH251" s="4" t="s">
        <v>109</v>
      </c>
      <c r="BI251" s="69">
        <v>44525</v>
      </c>
      <c r="BJ251" s="69">
        <v>44196</v>
      </c>
      <c r="BK251" s="69">
        <v>44661</v>
      </c>
      <c r="BL251" s="97" t="s">
        <v>109</v>
      </c>
      <c r="BM251" s="4" t="s">
        <v>109</v>
      </c>
      <c r="BN251" s="4" t="b">
        <v>1</v>
      </c>
      <c r="BO251" s="130" t="s">
        <v>118</v>
      </c>
      <c r="BP251" s="4" t="s">
        <v>128</v>
      </c>
      <c r="CF251" s="4" t="s">
        <v>270</v>
      </c>
      <c r="CS251" s="144"/>
      <c r="CU251" s="216" t="s">
        <v>3187</v>
      </c>
      <c r="CW251" s="4" t="s">
        <v>3948</v>
      </c>
      <c r="CX251" s="39"/>
    </row>
    <row r="252" spans="1:102" x14ac:dyDescent="0.3">
      <c r="A252" s="2">
        <v>286</v>
      </c>
      <c r="B252" s="43" t="s">
        <v>1806</v>
      </c>
      <c r="C252" s="51">
        <v>33.131</v>
      </c>
      <c r="D252" s="51">
        <v>-117.136</v>
      </c>
      <c r="E252" s="2" t="s">
        <v>1253</v>
      </c>
      <c r="F252" s="47" t="s">
        <v>1727</v>
      </c>
      <c r="G252" s="67" t="s">
        <v>688</v>
      </c>
      <c r="H252" s="2" t="s">
        <v>146</v>
      </c>
      <c r="I252" s="2" t="s">
        <v>109</v>
      </c>
      <c r="J252" s="2" t="s">
        <v>109</v>
      </c>
      <c r="K252" s="2" t="s">
        <v>1728</v>
      </c>
      <c r="L252" s="2" t="s">
        <v>251</v>
      </c>
      <c r="M252" s="2" t="s">
        <v>109</v>
      </c>
      <c r="N252" s="2" t="s">
        <v>109</v>
      </c>
      <c r="O252" s="68">
        <v>45353</v>
      </c>
      <c r="Q252" s="2" t="s">
        <v>109</v>
      </c>
      <c r="R252" s="2" t="s">
        <v>109</v>
      </c>
      <c r="S252" s="2" t="s">
        <v>109</v>
      </c>
      <c r="T252" s="2" t="s">
        <v>109</v>
      </c>
      <c r="U252" s="2" t="s">
        <v>116</v>
      </c>
      <c r="V252" s="2" t="s">
        <v>3022</v>
      </c>
      <c r="W252" s="2" t="b">
        <v>0</v>
      </c>
      <c r="X252" s="2" t="s">
        <v>109</v>
      </c>
      <c r="Y252" s="2" t="s">
        <v>902</v>
      </c>
      <c r="AA252" s="2" t="s">
        <v>109</v>
      </c>
      <c r="AB252" s="2" t="s">
        <v>109</v>
      </c>
      <c r="AC252" s="2" t="s">
        <v>304</v>
      </c>
      <c r="AD252" s="2" t="s">
        <v>109</v>
      </c>
      <c r="AE252" s="2">
        <v>1.1000000000000001</v>
      </c>
      <c r="AF252" s="2" t="s">
        <v>3949</v>
      </c>
      <c r="AG252" s="3" t="s">
        <v>3908</v>
      </c>
      <c r="AH252" s="3" t="s">
        <v>3950</v>
      </c>
      <c r="AI252" s="2">
        <v>1</v>
      </c>
      <c r="AJ252" s="2" t="s">
        <v>3909</v>
      </c>
      <c r="AK252" s="2" t="s">
        <v>121</v>
      </c>
      <c r="AL252" s="2" t="s">
        <v>3027</v>
      </c>
      <c r="AM252" s="68">
        <v>43735</v>
      </c>
      <c r="AN252" s="2" t="s">
        <v>122</v>
      </c>
      <c r="AO252" s="2" t="s">
        <v>109</v>
      </c>
      <c r="AP252" s="109" t="s">
        <v>109</v>
      </c>
      <c r="AQ252" s="2" t="b">
        <v>0</v>
      </c>
      <c r="AR252" s="2" t="s">
        <v>109</v>
      </c>
      <c r="AS252" s="2" t="s">
        <v>109</v>
      </c>
      <c r="AT252" s="2" t="s">
        <v>109</v>
      </c>
      <c r="AU252" s="2" t="b">
        <v>0</v>
      </c>
      <c r="AV252" s="2" t="s">
        <v>109</v>
      </c>
      <c r="AW252" s="2" t="s">
        <v>109</v>
      </c>
      <c r="AY252" s="2" t="s">
        <v>109</v>
      </c>
      <c r="AZ252" s="2" t="s">
        <v>109</v>
      </c>
      <c r="BA252" s="2" t="s">
        <v>109</v>
      </c>
      <c r="BB252" s="2" t="s">
        <v>109</v>
      </c>
      <c r="BC252" s="2" t="s">
        <v>135</v>
      </c>
      <c r="BD252" s="2" t="s">
        <v>109</v>
      </c>
      <c r="BE252" s="2" t="s">
        <v>109</v>
      </c>
      <c r="BF252" s="2" t="s">
        <v>109</v>
      </c>
      <c r="BG252" s="2" t="s">
        <v>126</v>
      </c>
      <c r="BH252" s="2" t="s">
        <v>109</v>
      </c>
      <c r="BI252" s="68">
        <v>44211</v>
      </c>
      <c r="BJ252" s="68">
        <v>44196</v>
      </c>
      <c r="BK252" s="68">
        <v>44375</v>
      </c>
      <c r="BL252" s="98" t="s">
        <v>109</v>
      </c>
      <c r="BM252" s="2" t="s">
        <v>109</v>
      </c>
      <c r="BN252" s="2" t="b">
        <v>1</v>
      </c>
      <c r="BO252" s="85" t="s">
        <v>118</v>
      </c>
      <c r="BP252" s="2" t="s">
        <v>128</v>
      </c>
      <c r="CF252" s="2" t="s">
        <v>460</v>
      </c>
      <c r="CS252" s="145"/>
      <c r="CU252" s="132" t="s">
        <v>3187</v>
      </c>
      <c r="CW252" s="2" t="s">
        <v>3951</v>
      </c>
      <c r="CX252" s="38"/>
    </row>
    <row r="253" spans="1:102" x14ac:dyDescent="0.3">
      <c r="A253" s="4">
        <v>287</v>
      </c>
      <c r="B253" s="44" t="s">
        <v>1811</v>
      </c>
      <c r="C253" s="53">
        <v>33.131</v>
      </c>
      <c r="D253" s="53">
        <v>-117.136</v>
      </c>
      <c r="E253" s="4" t="s">
        <v>1253</v>
      </c>
      <c r="F253" s="46" t="s">
        <v>1727</v>
      </c>
      <c r="G253" s="64" t="s">
        <v>688</v>
      </c>
      <c r="H253" s="4" t="s">
        <v>146</v>
      </c>
      <c r="I253" s="4" t="s">
        <v>109</v>
      </c>
      <c r="J253" s="4" t="s">
        <v>109</v>
      </c>
      <c r="K253" s="4" t="s">
        <v>1728</v>
      </c>
      <c r="L253" s="4" t="s">
        <v>251</v>
      </c>
      <c r="M253" s="4" t="s">
        <v>109</v>
      </c>
      <c r="N253" s="4" t="s">
        <v>109</v>
      </c>
      <c r="O253" s="69">
        <v>45353</v>
      </c>
      <c r="Q253" s="4" t="s">
        <v>109</v>
      </c>
      <c r="R253" s="4" t="s">
        <v>109</v>
      </c>
      <c r="S253" s="4" t="s">
        <v>109</v>
      </c>
      <c r="T253" s="4" t="s">
        <v>109</v>
      </c>
      <c r="U253" s="4" t="s">
        <v>116</v>
      </c>
      <c r="V253" s="4" t="s">
        <v>3022</v>
      </c>
      <c r="W253" s="4" t="b">
        <v>0</v>
      </c>
      <c r="X253" s="4" t="s">
        <v>109</v>
      </c>
      <c r="Y253" s="4" t="s">
        <v>902</v>
      </c>
      <c r="AA253" s="4" t="s">
        <v>109</v>
      </c>
      <c r="AB253" s="4" t="s">
        <v>109</v>
      </c>
      <c r="AC253" s="4" t="s">
        <v>304</v>
      </c>
      <c r="AD253" s="4" t="s">
        <v>109</v>
      </c>
      <c r="AE253" s="4">
        <v>1.1000000000000001</v>
      </c>
      <c r="AF253" s="4" t="s">
        <v>3952</v>
      </c>
      <c r="AG253" s="5" t="s">
        <v>3908</v>
      </c>
      <c r="AH253" s="5" t="s">
        <v>3953</v>
      </c>
      <c r="AI253" s="4">
        <v>1</v>
      </c>
      <c r="AJ253" s="4" t="s">
        <v>3909</v>
      </c>
      <c r="AK253" s="4" t="s">
        <v>121</v>
      </c>
      <c r="AL253" s="4" t="s">
        <v>3027</v>
      </c>
      <c r="AM253" s="69">
        <v>43735</v>
      </c>
      <c r="AN253" s="4" t="s">
        <v>122</v>
      </c>
      <c r="AO253" s="4" t="s">
        <v>109</v>
      </c>
      <c r="AP253" s="217" t="s">
        <v>109</v>
      </c>
      <c r="AQ253" s="4" t="b">
        <v>0</v>
      </c>
      <c r="AR253" s="4" t="s">
        <v>109</v>
      </c>
      <c r="AS253" s="4" t="s">
        <v>109</v>
      </c>
      <c r="AT253" s="4" t="s">
        <v>109</v>
      </c>
      <c r="AU253" s="4" t="b">
        <v>0</v>
      </c>
      <c r="AV253" s="4" t="s">
        <v>109</v>
      </c>
      <c r="AW253" s="4" t="s">
        <v>109</v>
      </c>
      <c r="AY253" s="4" t="s">
        <v>109</v>
      </c>
      <c r="AZ253" s="4" t="s">
        <v>109</v>
      </c>
      <c r="BA253" s="4" t="s">
        <v>109</v>
      </c>
      <c r="BB253" s="4" t="s">
        <v>109</v>
      </c>
      <c r="BC253" s="4" t="s">
        <v>135</v>
      </c>
      <c r="BD253" s="4" t="s">
        <v>109</v>
      </c>
      <c r="BE253" s="4" t="s">
        <v>109</v>
      </c>
      <c r="BF253" s="4" t="s">
        <v>109</v>
      </c>
      <c r="BG253" s="4" t="s">
        <v>126</v>
      </c>
      <c r="BH253" s="4" t="s">
        <v>109</v>
      </c>
      <c r="BI253" s="69">
        <v>44257</v>
      </c>
      <c r="BJ253" s="69">
        <v>44196</v>
      </c>
      <c r="BK253" s="69">
        <v>44401</v>
      </c>
      <c r="BL253" s="97" t="s">
        <v>109</v>
      </c>
      <c r="BM253" s="4" t="s">
        <v>109</v>
      </c>
      <c r="BN253" s="4" t="b">
        <v>1</v>
      </c>
      <c r="BO253" s="130" t="s">
        <v>118</v>
      </c>
      <c r="BP253" s="4" t="s">
        <v>128</v>
      </c>
      <c r="CF253" s="4" t="s">
        <v>460</v>
      </c>
      <c r="CS253" s="144"/>
      <c r="CU253" s="216" t="s">
        <v>3187</v>
      </c>
      <c r="CW253" s="4" t="s">
        <v>3951</v>
      </c>
      <c r="CX253" s="39"/>
    </row>
    <row r="254" spans="1:102" x14ac:dyDescent="0.3">
      <c r="A254" s="2">
        <v>288</v>
      </c>
      <c r="B254" s="43" t="s">
        <v>1815</v>
      </c>
      <c r="C254" s="51">
        <v>32.770000000000003</v>
      </c>
      <c r="D254" s="51">
        <v>-116.958</v>
      </c>
      <c r="E254" s="2" t="s">
        <v>1731</v>
      </c>
      <c r="F254" s="47" t="s">
        <v>1727</v>
      </c>
      <c r="G254" s="67" t="s">
        <v>688</v>
      </c>
      <c r="H254" s="2" t="s">
        <v>146</v>
      </c>
      <c r="I254" s="2" t="s">
        <v>109</v>
      </c>
      <c r="J254" s="2" t="s">
        <v>109</v>
      </c>
      <c r="K254" s="2" t="s">
        <v>1728</v>
      </c>
      <c r="L254" s="2" t="s">
        <v>251</v>
      </c>
      <c r="M254" s="2" t="s">
        <v>109</v>
      </c>
      <c r="N254" s="2" t="s">
        <v>109</v>
      </c>
      <c r="O254" s="68">
        <v>45363</v>
      </c>
      <c r="Q254" s="2" t="s">
        <v>109</v>
      </c>
      <c r="R254" s="2" t="s">
        <v>109</v>
      </c>
      <c r="S254" s="2" t="s">
        <v>109</v>
      </c>
      <c r="T254" s="2" t="s">
        <v>109</v>
      </c>
      <c r="U254" s="2" t="s">
        <v>116</v>
      </c>
      <c r="V254" s="2" t="s">
        <v>3022</v>
      </c>
      <c r="W254" s="2" t="b">
        <v>0</v>
      </c>
      <c r="X254" s="2" t="s">
        <v>109</v>
      </c>
      <c r="Y254" s="2" t="s">
        <v>902</v>
      </c>
      <c r="AA254" s="2" t="s">
        <v>109</v>
      </c>
      <c r="AB254" s="2" t="s">
        <v>109</v>
      </c>
      <c r="AC254" s="2" t="s">
        <v>304</v>
      </c>
      <c r="AD254" s="2" t="s">
        <v>109</v>
      </c>
      <c r="AE254" s="2">
        <v>1.1000000000000001</v>
      </c>
      <c r="AF254" s="2" t="s">
        <v>3954</v>
      </c>
      <c r="AG254" s="3" t="s">
        <v>3908</v>
      </c>
      <c r="AH254" s="3" t="s">
        <v>3955</v>
      </c>
      <c r="AI254" s="2">
        <v>1</v>
      </c>
      <c r="AJ254" s="2" t="s">
        <v>3909</v>
      </c>
      <c r="AK254" s="2" t="s">
        <v>121</v>
      </c>
      <c r="AL254" s="2" t="s">
        <v>3027</v>
      </c>
      <c r="AM254" s="68">
        <v>43749</v>
      </c>
      <c r="AN254" s="2" t="s">
        <v>122</v>
      </c>
      <c r="AO254" s="2" t="s">
        <v>109</v>
      </c>
      <c r="AP254" s="109" t="s">
        <v>109</v>
      </c>
      <c r="AQ254" s="2" t="b">
        <v>0</v>
      </c>
      <c r="AR254" s="2" t="s">
        <v>109</v>
      </c>
      <c r="AS254" s="2" t="s">
        <v>109</v>
      </c>
      <c r="AT254" s="2" t="s">
        <v>109</v>
      </c>
      <c r="AU254" s="2" t="b">
        <v>0</v>
      </c>
      <c r="AV254" s="2" t="s">
        <v>109</v>
      </c>
      <c r="AW254" s="2" t="s">
        <v>109</v>
      </c>
      <c r="AY254" s="2" t="s">
        <v>109</v>
      </c>
      <c r="AZ254" s="2" t="s">
        <v>109</v>
      </c>
      <c r="BA254" s="2" t="s">
        <v>109</v>
      </c>
      <c r="BB254" s="2" t="s">
        <v>109</v>
      </c>
      <c r="BC254" s="2" t="s">
        <v>135</v>
      </c>
      <c r="BD254" s="2" t="s">
        <v>109</v>
      </c>
      <c r="BE254" s="2" t="s">
        <v>109</v>
      </c>
      <c r="BF254" s="2" t="s">
        <v>109</v>
      </c>
      <c r="BG254" s="2" t="s">
        <v>126</v>
      </c>
      <c r="BH254" s="2" t="s">
        <v>109</v>
      </c>
      <c r="BI254" s="68">
        <v>44646</v>
      </c>
      <c r="BJ254" s="68">
        <v>44196</v>
      </c>
      <c r="BK254" s="68">
        <v>44905</v>
      </c>
      <c r="BL254" s="98" t="s">
        <v>109</v>
      </c>
      <c r="BM254" s="2" t="s">
        <v>109</v>
      </c>
      <c r="BN254" s="2" t="b">
        <v>1</v>
      </c>
      <c r="BO254" s="85" t="s">
        <v>118</v>
      </c>
      <c r="BP254" s="2" t="s">
        <v>128</v>
      </c>
      <c r="CF254" s="2" t="s">
        <v>174</v>
      </c>
      <c r="CS254" s="145"/>
      <c r="CU254" s="132" t="s">
        <v>3187</v>
      </c>
      <c r="CW254" s="2" t="s">
        <v>3956</v>
      </c>
      <c r="CX254" s="38"/>
    </row>
    <row r="255" spans="1:102" x14ac:dyDescent="0.3">
      <c r="A255" s="4">
        <v>289</v>
      </c>
      <c r="B255" s="44" t="s">
        <v>1821</v>
      </c>
      <c r="C255" s="53">
        <v>32.668999999999997</v>
      </c>
      <c r="D255" s="53">
        <v>-117.114</v>
      </c>
      <c r="E255" s="4" t="s">
        <v>1414</v>
      </c>
      <c r="F255" s="46" t="s">
        <v>1727</v>
      </c>
      <c r="G255" s="64" t="s">
        <v>688</v>
      </c>
      <c r="H255" s="4" t="s">
        <v>146</v>
      </c>
      <c r="I255" s="4" t="s">
        <v>109</v>
      </c>
      <c r="J255" s="4" t="s">
        <v>109</v>
      </c>
      <c r="K255" s="4" t="s">
        <v>1728</v>
      </c>
      <c r="L255" s="4" t="s">
        <v>251</v>
      </c>
      <c r="M255" s="4" t="s">
        <v>109</v>
      </c>
      <c r="N255" s="4" t="s">
        <v>109</v>
      </c>
      <c r="O255" s="69">
        <v>45344</v>
      </c>
      <c r="Q255" s="4" t="s">
        <v>109</v>
      </c>
      <c r="R255" s="4" t="s">
        <v>109</v>
      </c>
      <c r="S255" s="4" t="s">
        <v>109</v>
      </c>
      <c r="T255" s="4" t="s">
        <v>109</v>
      </c>
      <c r="U255" s="4" t="s">
        <v>116</v>
      </c>
      <c r="V255" s="4" t="s">
        <v>3022</v>
      </c>
      <c r="W255" s="4" t="b">
        <v>0</v>
      </c>
      <c r="X255" s="4" t="s">
        <v>109</v>
      </c>
      <c r="Y255" s="4" t="s">
        <v>902</v>
      </c>
      <c r="AA255" s="4" t="s">
        <v>109</v>
      </c>
      <c r="AB255" s="4" t="s">
        <v>109</v>
      </c>
      <c r="AC255" s="4" t="s">
        <v>304</v>
      </c>
      <c r="AD255" s="4" t="s">
        <v>109</v>
      </c>
      <c r="AE255" s="4">
        <v>1.1000000000000001</v>
      </c>
      <c r="AF255" s="4" t="s">
        <v>3957</v>
      </c>
      <c r="AG255" s="5" t="s">
        <v>3908</v>
      </c>
      <c r="AH255" s="5" t="s">
        <v>3958</v>
      </c>
      <c r="AI255" s="4">
        <v>1</v>
      </c>
      <c r="AJ255" s="4" t="s">
        <v>3909</v>
      </c>
      <c r="AK255" s="4" t="s">
        <v>121</v>
      </c>
      <c r="AL255" s="4" t="s">
        <v>3027</v>
      </c>
      <c r="AM255" s="69">
        <v>43811</v>
      </c>
      <c r="AN255" s="4" t="s">
        <v>122</v>
      </c>
      <c r="AO255" s="4" t="s">
        <v>109</v>
      </c>
      <c r="AP255" s="217" t="s">
        <v>109</v>
      </c>
      <c r="AQ255" s="4" t="b">
        <v>0</v>
      </c>
      <c r="AR255" s="4" t="s">
        <v>109</v>
      </c>
      <c r="AS255" s="4" t="s">
        <v>109</v>
      </c>
      <c r="AT255" s="4" t="s">
        <v>109</v>
      </c>
      <c r="AU255" s="4" t="b">
        <v>0</v>
      </c>
      <c r="AV255" s="4" t="s">
        <v>109</v>
      </c>
      <c r="AW255" s="4" t="s">
        <v>109</v>
      </c>
      <c r="AY255" s="4" t="s">
        <v>109</v>
      </c>
      <c r="AZ255" s="4" t="s">
        <v>109</v>
      </c>
      <c r="BA255" s="4" t="s">
        <v>109</v>
      </c>
      <c r="BB255" s="4" t="s">
        <v>109</v>
      </c>
      <c r="BC255" s="4" t="s">
        <v>135</v>
      </c>
      <c r="BD255" s="4" t="s">
        <v>109</v>
      </c>
      <c r="BE255" s="4" t="s">
        <v>109</v>
      </c>
      <c r="BF255" s="4" t="s">
        <v>109</v>
      </c>
      <c r="BG255" s="4" t="s">
        <v>863</v>
      </c>
      <c r="BH255" s="4" t="s">
        <v>109</v>
      </c>
      <c r="BI255" s="69">
        <v>44936</v>
      </c>
      <c r="BJ255" s="69">
        <v>45657</v>
      </c>
      <c r="BK255" s="69">
        <v>46022</v>
      </c>
      <c r="BL255" s="97" t="s">
        <v>109</v>
      </c>
      <c r="BM255" s="4" t="s">
        <v>109</v>
      </c>
      <c r="BN255" s="4" t="b">
        <v>1</v>
      </c>
      <c r="BO255" s="130" t="s">
        <v>118</v>
      </c>
      <c r="BP255" s="4" t="s">
        <v>128</v>
      </c>
      <c r="CF255" s="4" t="s">
        <v>270</v>
      </c>
      <c r="CS255" s="144"/>
      <c r="CU255" s="216" t="s">
        <v>3187</v>
      </c>
      <c r="CW255" s="4" t="s">
        <v>3718</v>
      </c>
      <c r="CX255" s="39"/>
    </row>
    <row r="256" spans="1:102" x14ac:dyDescent="0.3">
      <c r="A256" s="2">
        <v>290</v>
      </c>
      <c r="B256" s="43" t="s">
        <v>1826</v>
      </c>
      <c r="C256" s="51">
        <v>33.145000000000003</v>
      </c>
      <c r="D256" s="51">
        <v>-117.062</v>
      </c>
      <c r="E256" s="2" t="s">
        <v>749</v>
      </c>
      <c r="F256" s="47" t="s">
        <v>1727</v>
      </c>
      <c r="G256" s="67" t="s">
        <v>688</v>
      </c>
      <c r="H256" s="67" t="s">
        <v>146</v>
      </c>
      <c r="I256" s="67" t="s">
        <v>109</v>
      </c>
      <c r="J256" s="67" t="s">
        <v>109</v>
      </c>
      <c r="K256" s="67" t="s">
        <v>1728</v>
      </c>
      <c r="L256" s="67" t="s">
        <v>251</v>
      </c>
      <c r="M256" s="67" t="s">
        <v>109</v>
      </c>
      <c r="N256" s="67" t="s">
        <v>109</v>
      </c>
      <c r="O256" s="74">
        <v>45335.5</v>
      </c>
      <c r="Q256" s="7" t="s">
        <v>1827</v>
      </c>
      <c r="R256" s="67" t="s">
        <v>109</v>
      </c>
      <c r="S256" s="67" t="s">
        <v>109</v>
      </c>
      <c r="T256" s="67" t="s">
        <v>109</v>
      </c>
      <c r="U256" s="2" t="s">
        <v>116</v>
      </c>
      <c r="V256" s="2" t="s">
        <v>3022</v>
      </c>
      <c r="W256" s="2" t="b">
        <v>0</v>
      </c>
      <c r="X256" s="2" t="s">
        <v>109</v>
      </c>
      <c r="Y256" s="2" t="s">
        <v>902</v>
      </c>
      <c r="AA256" s="2" t="s">
        <v>109</v>
      </c>
      <c r="AB256" s="2" t="s">
        <v>118</v>
      </c>
      <c r="AC256" s="2" t="s">
        <v>304</v>
      </c>
      <c r="AD256" s="2" t="s">
        <v>109</v>
      </c>
      <c r="AE256" s="2">
        <v>1.1000000000000001</v>
      </c>
      <c r="AF256" s="2" t="s">
        <v>3959</v>
      </c>
      <c r="AG256" s="3" t="s">
        <v>3908</v>
      </c>
      <c r="AH256" s="3" t="s">
        <v>3960</v>
      </c>
      <c r="AI256" s="2">
        <v>1</v>
      </c>
      <c r="AJ256" s="2" t="s">
        <v>3909</v>
      </c>
      <c r="AK256" s="2" t="s">
        <v>121</v>
      </c>
      <c r="AL256" s="2" t="s">
        <v>3027</v>
      </c>
      <c r="AM256" s="68">
        <v>43882</v>
      </c>
      <c r="AN256" s="2" t="s">
        <v>122</v>
      </c>
      <c r="AO256" s="2" t="s">
        <v>109</v>
      </c>
      <c r="AP256" s="109" t="s">
        <v>109</v>
      </c>
      <c r="AQ256" s="2" t="b">
        <v>0</v>
      </c>
      <c r="AR256" s="2" t="s">
        <v>109</v>
      </c>
      <c r="AS256" s="2" t="s">
        <v>109</v>
      </c>
      <c r="AT256" s="2" t="s">
        <v>109</v>
      </c>
      <c r="AU256" s="2" t="b">
        <v>0</v>
      </c>
      <c r="AV256" s="2" t="s">
        <v>109</v>
      </c>
      <c r="AW256" s="2" t="s">
        <v>109</v>
      </c>
      <c r="AY256" s="2" t="s">
        <v>109</v>
      </c>
      <c r="AZ256" s="2" t="s">
        <v>109</v>
      </c>
      <c r="BA256" s="2" t="s">
        <v>109</v>
      </c>
      <c r="BB256" s="2" t="s">
        <v>109</v>
      </c>
      <c r="BC256" s="2" t="s">
        <v>135</v>
      </c>
      <c r="BD256" s="2" t="s">
        <v>109</v>
      </c>
      <c r="BE256" s="2" t="s">
        <v>109</v>
      </c>
      <c r="BF256" s="2" t="s">
        <v>109</v>
      </c>
      <c r="BG256" s="2" t="s">
        <v>126</v>
      </c>
      <c r="BH256" s="2" t="s">
        <v>109</v>
      </c>
      <c r="BI256" s="68">
        <v>44501</v>
      </c>
      <c r="BJ256" s="68">
        <v>44926</v>
      </c>
      <c r="BK256" s="68">
        <v>44639</v>
      </c>
      <c r="BL256" s="98" t="s">
        <v>109</v>
      </c>
      <c r="BM256" s="98" t="s">
        <v>109</v>
      </c>
      <c r="BN256" s="2" t="b">
        <v>1</v>
      </c>
      <c r="BO256" s="85" t="s">
        <v>118</v>
      </c>
      <c r="BP256" s="135" t="s">
        <v>128</v>
      </c>
      <c r="CF256" s="84" t="s">
        <v>270</v>
      </c>
      <c r="CS256" s="142"/>
      <c r="CU256" s="132" t="s">
        <v>3187</v>
      </c>
      <c r="CW256" s="2" t="s">
        <v>3961</v>
      </c>
      <c r="CX256" s="38"/>
    </row>
    <row r="257" spans="1:102" ht="27" x14ac:dyDescent="0.3">
      <c r="A257" s="4">
        <v>291</v>
      </c>
      <c r="B257" s="44" t="s">
        <v>1830</v>
      </c>
      <c r="C257" s="6">
        <v>32.911999999999999</v>
      </c>
      <c r="D257" s="4">
        <v>-117.217</v>
      </c>
      <c r="E257" s="4" t="s">
        <v>410</v>
      </c>
      <c r="F257" s="46" t="s">
        <v>1727</v>
      </c>
      <c r="G257" s="64" t="s">
        <v>688</v>
      </c>
      <c r="H257" s="64" t="s">
        <v>146</v>
      </c>
      <c r="I257" s="64" t="s">
        <v>109</v>
      </c>
      <c r="J257" s="64" t="s">
        <v>109</v>
      </c>
      <c r="K257" s="64" t="s">
        <v>1728</v>
      </c>
      <c r="L257" s="64" t="s">
        <v>251</v>
      </c>
      <c r="M257" s="64" t="s">
        <v>109</v>
      </c>
      <c r="N257" s="64" t="s">
        <v>109</v>
      </c>
      <c r="O257" s="66">
        <v>45416</v>
      </c>
      <c r="Q257" s="6" t="s">
        <v>1831</v>
      </c>
      <c r="R257" s="64" t="s">
        <v>109</v>
      </c>
      <c r="S257" s="64" t="s">
        <v>109</v>
      </c>
      <c r="T257" s="64" t="s">
        <v>109</v>
      </c>
      <c r="U257" s="4" t="s">
        <v>116</v>
      </c>
      <c r="V257" s="4" t="s">
        <v>3022</v>
      </c>
      <c r="W257" s="4" t="b">
        <v>0</v>
      </c>
      <c r="X257" s="4" t="s">
        <v>487</v>
      </c>
      <c r="Y257" s="4" t="s">
        <v>902</v>
      </c>
      <c r="AA257" s="4" t="s">
        <v>109</v>
      </c>
      <c r="AB257" s="4" t="s">
        <v>118</v>
      </c>
      <c r="AC257" s="4" t="s">
        <v>304</v>
      </c>
      <c r="AD257" s="4" t="s">
        <v>109</v>
      </c>
      <c r="AE257" s="4">
        <v>1.1000000000000001</v>
      </c>
      <c r="AF257" s="4" t="s">
        <v>3962</v>
      </c>
      <c r="AG257" s="5" t="s">
        <v>3908</v>
      </c>
      <c r="AH257" s="5" t="s">
        <v>3963</v>
      </c>
      <c r="AI257" s="4">
        <v>1</v>
      </c>
      <c r="AJ257" s="4" t="s">
        <v>3909</v>
      </c>
      <c r="AK257" s="4" t="s">
        <v>121</v>
      </c>
      <c r="AL257" s="4" t="s">
        <v>3027</v>
      </c>
      <c r="AM257" s="69">
        <v>45244</v>
      </c>
      <c r="AN257" s="4" t="s">
        <v>122</v>
      </c>
      <c r="AO257" s="4">
        <v>2024</v>
      </c>
      <c r="AP257" s="217" t="s">
        <v>109</v>
      </c>
      <c r="AQ257" s="4" t="b">
        <v>0</v>
      </c>
      <c r="AR257" s="4" t="s">
        <v>109</v>
      </c>
      <c r="AS257" s="4" t="s">
        <v>109</v>
      </c>
      <c r="AT257" s="4" t="s">
        <v>109</v>
      </c>
      <c r="AU257" s="4" t="b">
        <v>0</v>
      </c>
      <c r="AV257" s="4" t="s">
        <v>123</v>
      </c>
      <c r="AW257" s="4" t="s">
        <v>118</v>
      </c>
      <c r="AY257" s="4" t="s">
        <v>109</v>
      </c>
      <c r="AZ257" s="4" t="s">
        <v>109</v>
      </c>
      <c r="BA257" s="4" t="s">
        <v>226</v>
      </c>
      <c r="BB257" s="4" t="s">
        <v>118</v>
      </c>
      <c r="BC257" s="4" t="s">
        <v>135</v>
      </c>
      <c r="BD257" s="4" t="s">
        <v>109</v>
      </c>
      <c r="BE257" s="4" t="s">
        <v>109</v>
      </c>
      <c r="BF257" s="4" t="s">
        <v>109</v>
      </c>
      <c r="BG257" s="4" t="s">
        <v>126</v>
      </c>
      <c r="BH257" s="4" t="s">
        <v>109</v>
      </c>
      <c r="BI257" s="69">
        <v>45516</v>
      </c>
      <c r="BJ257" s="69">
        <v>46387</v>
      </c>
      <c r="BK257" s="69">
        <v>45725</v>
      </c>
      <c r="BL257" s="97" t="s">
        <v>109</v>
      </c>
      <c r="BM257" s="97" t="s">
        <v>109</v>
      </c>
      <c r="BN257" s="97" t="b">
        <v>0</v>
      </c>
      <c r="BO257" s="130" t="s">
        <v>118</v>
      </c>
      <c r="BP257" s="134" t="s">
        <v>128</v>
      </c>
      <c r="CF257" s="6" t="s">
        <v>109</v>
      </c>
      <c r="CS257" s="144"/>
      <c r="CU257" s="216" t="s">
        <v>3187</v>
      </c>
      <c r="CW257" s="4" t="s">
        <v>3964</v>
      </c>
      <c r="CX257" s="220" t="s">
        <v>3910</v>
      </c>
    </row>
    <row r="258" spans="1:102" ht="27" x14ac:dyDescent="0.3">
      <c r="A258" s="2">
        <v>292</v>
      </c>
      <c r="B258" s="43" t="s">
        <v>1835</v>
      </c>
      <c r="C258" s="2">
        <v>32.770000000000003</v>
      </c>
      <c r="D258" s="2">
        <v>-117.13200000000001</v>
      </c>
      <c r="E258" s="2" t="s">
        <v>410</v>
      </c>
      <c r="F258" s="47" t="s">
        <v>1727</v>
      </c>
      <c r="G258" s="67" t="s">
        <v>688</v>
      </c>
      <c r="H258" s="67" t="s">
        <v>146</v>
      </c>
      <c r="I258" s="67" t="s">
        <v>109</v>
      </c>
      <c r="J258" s="67" t="s">
        <v>109</v>
      </c>
      <c r="K258" s="67" t="s">
        <v>1728</v>
      </c>
      <c r="L258" s="67" t="s">
        <v>251</v>
      </c>
      <c r="M258" s="67" t="s">
        <v>109</v>
      </c>
      <c r="N258" s="67" t="s">
        <v>109</v>
      </c>
      <c r="O258" s="74">
        <v>45363.5</v>
      </c>
      <c r="Q258" s="7" t="s">
        <v>109</v>
      </c>
      <c r="R258" s="67" t="s">
        <v>109</v>
      </c>
      <c r="S258" s="67" t="s">
        <v>109</v>
      </c>
      <c r="T258" s="67" t="s">
        <v>109</v>
      </c>
      <c r="U258" s="2" t="s">
        <v>116</v>
      </c>
      <c r="V258" s="2" t="s">
        <v>3022</v>
      </c>
      <c r="W258" s="2" t="b">
        <v>0</v>
      </c>
      <c r="X258" s="2" t="s">
        <v>123</v>
      </c>
      <c r="Y258" s="2" t="s">
        <v>902</v>
      </c>
      <c r="AA258" s="2" t="s">
        <v>109</v>
      </c>
      <c r="AB258" s="2" t="s">
        <v>118</v>
      </c>
      <c r="AC258" s="2" t="s">
        <v>304</v>
      </c>
      <c r="AD258" s="2" t="s">
        <v>109</v>
      </c>
      <c r="AE258" s="2">
        <v>1.1000000000000001</v>
      </c>
      <c r="AF258" s="2" t="s">
        <v>3965</v>
      </c>
      <c r="AG258" s="3" t="s">
        <v>3908</v>
      </c>
      <c r="AH258" s="3" t="s">
        <v>3966</v>
      </c>
      <c r="AI258" s="2">
        <v>1</v>
      </c>
      <c r="AJ258" s="2" t="s">
        <v>3909</v>
      </c>
      <c r="AK258" s="2" t="s">
        <v>121</v>
      </c>
      <c r="AL258" s="2" t="s">
        <v>3027</v>
      </c>
      <c r="AM258" s="68">
        <v>42858</v>
      </c>
      <c r="AN258" s="2" t="s">
        <v>122</v>
      </c>
      <c r="AO258" s="2">
        <v>2019</v>
      </c>
      <c r="AP258" s="109" t="s">
        <v>109</v>
      </c>
      <c r="AQ258" s="2" t="b">
        <v>0</v>
      </c>
      <c r="AR258" s="2" t="s">
        <v>109</v>
      </c>
      <c r="AS258" s="2" t="s">
        <v>109</v>
      </c>
      <c r="AT258" s="2" t="s">
        <v>109</v>
      </c>
      <c r="AU258" s="2" t="b">
        <v>0</v>
      </c>
      <c r="AV258" s="2" t="s">
        <v>123</v>
      </c>
      <c r="AW258" s="2" t="s">
        <v>118</v>
      </c>
      <c r="AY258" s="2" t="s">
        <v>109</v>
      </c>
      <c r="AZ258" s="2" t="s">
        <v>109</v>
      </c>
      <c r="BA258" s="2" t="s">
        <v>226</v>
      </c>
      <c r="BB258" s="2" t="s">
        <v>118</v>
      </c>
      <c r="BC258" s="2" t="s">
        <v>135</v>
      </c>
      <c r="BD258" s="2" t="s">
        <v>109</v>
      </c>
      <c r="BE258" s="2" t="s">
        <v>109</v>
      </c>
      <c r="BF258" s="2" t="s">
        <v>109</v>
      </c>
      <c r="BG258" s="2" t="s">
        <v>126</v>
      </c>
      <c r="BH258" s="2" t="s">
        <v>109</v>
      </c>
      <c r="BI258" s="68">
        <v>45777</v>
      </c>
      <c r="BJ258" s="68">
        <v>43465</v>
      </c>
      <c r="BK258" s="68">
        <v>46077</v>
      </c>
      <c r="BL258" s="98" t="s">
        <v>699</v>
      </c>
      <c r="BM258" s="98" t="s">
        <v>109</v>
      </c>
      <c r="BN258" s="2" t="b">
        <v>1</v>
      </c>
      <c r="BO258" s="85" t="s">
        <v>118</v>
      </c>
      <c r="BP258" s="135" t="s">
        <v>128</v>
      </c>
      <c r="CF258" s="7" t="s">
        <v>528</v>
      </c>
      <c r="CS258" s="145"/>
      <c r="CU258" s="132" t="s">
        <v>3187</v>
      </c>
      <c r="CW258" s="2" t="s">
        <v>3967</v>
      </c>
      <c r="CX258" s="220" t="s">
        <v>3910</v>
      </c>
    </row>
    <row r="259" spans="1:102" ht="27" x14ac:dyDescent="0.3">
      <c r="A259" s="4">
        <v>293</v>
      </c>
      <c r="B259" s="44" t="s">
        <v>1838</v>
      </c>
      <c r="C259" s="6">
        <v>32.698</v>
      </c>
      <c r="D259" s="4">
        <v>-117.148</v>
      </c>
      <c r="E259" s="4" t="s">
        <v>410</v>
      </c>
      <c r="F259" s="46" t="s">
        <v>1727</v>
      </c>
      <c r="G259" s="64" t="s">
        <v>688</v>
      </c>
      <c r="H259" s="64" t="s">
        <v>146</v>
      </c>
      <c r="I259" s="64" t="s">
        <v>109</v>
      </c>
      <c r="J259" s="64" t="s">
        <v>109</v>
      </c>
      <c r="K259" s="64" t="s">
        <v>1728</v>
      </c>
      <c r="L259" s="64" t="s">
        <v>251</v>
      </c>
      <c r="M259" s="64" t="s">
        <v>109</v>
      </c>
      <c r="N259" s="64" t="s">
        <v>109</v>
      </c>
      <c r="O259" s="66">
        <v>45344</v>
      </c>
      <c r="Q259" s="6" t="s">
        <v>1839</v>
      </c>
      <c r="R259" s="64" t="s">
        <v>109</v>
      </c>
      <c r="S259" s="64" t="s">
        <v>109</v>
      </c>
      <c r="T259" s="64" t="s">
        <v>109</v>
      </c>
      <c r="U259" s="4" t="s">
        <v>116</v>
      </c>
      <c r="V259" s="4" t="s">
        <v>3022</v>
      </c>
      <c r="W259" s="4" t="b">
        <v>0</v>
      </c>
      <c r="X259" s="4" t="s">
        <v>123</v>
      </c>
      <c r="Y259" s="4" t="s">
        <v>902</v>
      </c>
      <c r="AA259" s="4" t="s">
        <v>109</v>
      </c>
      <c r="AB259" s="4" t="s">
        <v>118</v>
      </c>
      <c r="AC259" s="4" t="s">
        <v>304</v>
      </c>
      <c r="AD259" s="4" t="s">
        <v>109</v>
      </c>
      <c r="AE259" s="4">
        <v>1.1000000000000001</v>
      </c>
      <c r="AF259" s="4" t="s">
        <v>3968</v>
      </c>
      <c r="AG259" s="5" t="s">
        <v>3908</v>
      </c>
      <c r="AH259" s="5" t="s">
        <v>3969</v>
      </c>
      <c r="AI259" s="4">
        <v>1</v>
      </c>
      <c r="AJ259" s="4" t="s">
        <v>3909</v>
      </c>
      <c r="AK259" s="4" t="s">
        <v>121</v>
      </c>
      <c r="AL259" s="4" t="s">
        <v>3027</v>
      </c>
      <c r="AM259" s="69">
        <v>42597</v>
      </c>
      <c r="AN259" s="4" t="s">
        <v>122</v>
      </c>
      <c r="AO259" s="4">
        <v>2019</v>
      </c>
      <c r="AP259" s="217" t="s">
        <v>109</v>
      </c>
      <c r="AQ259" s="4" t="b">
        <v>0</v>
      </c>
      <c r="AR259" s="4" t="s">
        <v>109</v>
      </c>
      <c r="AS259" s="4" t="s">
        <v>109</v>
      </c>
      <c r="AT259" s="4" t="s">
        <v>109</v>
      </c>
      <c r="AU259" s="4" t="b">
        <v>0</v>
      </c>
      <c r="AV259" s="4" t="s">
        <v>123</v>
      </c>
      <c r="AW259" s="4" t="s">
        <v>118</v>
      </c>
      <c r="AY259" s="4" t="s">
        <v>109</v>
      </c>
      <c r="AZ259" s="4" t="s">
        <v>109</v>
      </c>
      <c r="BA259" s="4" t="s">
        <v>226</v>
      </c>
      <c r="BB259" s="4" t="s">
        <v>118</v>
      </c>
      <c r="BC259" s="4" t="s">
        <v>135</v>
      </c>
      <c r="BD259" s="4" t="s">
        <v>109</v>
      </c>
      <c r="BE259" s="4" t="s">
        <v>109</v>
      </c>
      <c r="BF259" s="4" t="s">
        <v>109</v>
      </c>
      <c r="BG259" s="4" t="s">
        <v>126</v>
      </c>
      <c r="BH259" s="4" t="s">
        <v>109</v>
      </c>
      <c r="BI259" s="69">
        <v>44706</v>
      </c>
      <c r="BJ259" s="69">
        <v>43100</v>
      </c>
      <c r="BK259" s="69">
        <v>45507</v>
      </c>
      <c r="BL259" s="97" t="s">
        <v>109</v>
      </c>
      <c r="BM259" s="97" t="s">
        <v>109</v>
      </c>
      <c r="BN259" s="97" t="b">
        <v>0</v>
      </c>
      <c r="BO259" s="130" t="s">
        <v>118</v>
      </c>
      <c r="BP259" s="134" t="s">
        <v>128</v>
      </c>
      <c r="CF259" s="6" t="s">
        <v>109</v>
      </c>
      <c r="CS259" s="144"/>
      <c r="CU259" s="216" t="s">
        <v>3187</v>
      </c>
      <c r="CW259" s="4" t="s">
        <v>3970</v>
      </c>
      <c r="CX259" s="220" t="s">
        <v>3910</v>
      </c>
    </row>
    <row r="260" spans="1:102" x14ac:dyDescent="0.3">
      <c r="A260" s="2">
        <v>294</v>
      </c>
      <c r="B260" s="43" t="s">
        <v>1844</v>
      </c>
      <c r="C260" s="51">
        <v>32.787999999999997</v>
      </c>
      <c r="D260" s="51">
        <v>-117.11799999999999</v>
      </c>
      <c r="E260" s="2" t="s">
        <v>329</v>
      </c>
      <c r="F260" s="47" t="s">
        <v>1845</v>
      </c>
      <c r="G260" s="67" t="s">
        <v>688</v>
      </c>
      <c r="H260" s="2" t="s">
        <v>146</v>
      </c>
      <c r="I260" s="2" t="s">
        <v>109</v>
      </c>
      <c r="J260" s="2" t="s">
        <v>109</v>
      </c>
      <c r="K260" s="2" t="s">
        <v>1728</v>
      </c>
      <c r="L260" s="2" t="s">
        <v>251</v>
      </c>
      <c r="M260" s="2" t="s">
        <v>109</v>
      </c>
      <c r="N260" s="2" t="s">
        <v>109</v>
      </c>
      <c r="O260" s="68">
        <v>45472</v>
      </c>
      <c r="Q260" s="2" t="s">
        <v>109</v>
      </c>
      <c r="R260" s="2" t="s">
        <v>109</v>
      </c>
      <c r="S260" s="2" t="s">
        <v>109</v>
      </c>
      <c r="T260" s="2" t="s">
        <v>109</v>
      </c>
      <c r="U260" s="2" t="s">
        <v>116</v>
      </c>
      <c r="V260" s="2" t="s">
        <v>3971</v>
      </c>
      <c r="W260" s="2" t="b">
        <v>0</v>
      </c>
      <c r="X260" s="2" t="s">
        <v>109</v>
      </c>
      <c r="Y260" s="2" t="s">
        <v>902</v>
      </c>
      <c r="AA260" s="2" t="s">
        <v>118</v>
      </c>
      <c r="AB260" s="2" t="s">
        <v>118</v>
      </c>
      <c r="AC260" s="2" t="s">
        <v>304</v>
      </c>
      <c r="AD260" s="2" t="s">
        <v>109</v>
      </c>
      <c r="AE260" s="2">
        <v>1.1000000000000001</v>
      </c>
      <c r="AF260" s="2" t="s">
        <v>3972</v>
      </c>
      <c r="AG260" s="3" t="s">
        <v>3973</v>
      </c>
      <c r="AH260" s="3" t="s">
        <v>3974</v>
      </c>
      <c r="AI260" s="2">
        <v>1</v>
      </c>
      <c r="AJ260" s="2" t="s">
        <v>3909</v>
      </c>
      <c r="AK260" s="2" t="s">
        <v>121</v>
      </c>
      <c r="AL260" s="2" t="s">
        <v>3027</v>
      </c>
      <c r="AM260" s="68">
        <v>42247</v>
      </c>
      <c r="AN260" s="2" t="s">
        <v>122</v>
      </c>
      <c r="AO260" s="2" t="s">
        <v>109</v>
      </c>
      <c r="AP260" s="109" t="s">
        <v>109</v>
      </c>
      <c r="AQ260" s="2" t="b">
        <v>0</v>
      </c>
      <c r="AR260" s="2" t="s">
        <v>109</v>
      </c>
      <c r="AS260" s="2" t="s">
        <v>109</v>
      </c>
      <c r="AT260" s="2" t="s">
        <v>109</v>
      </c>
      <c r="AU260" s="2" t="b">
        <v>0</v>
      </c>
      <c r="AV260" s="2" t="s">
        <v>109</v>
      </c>
      <c r="AW260" s="2" t="s">
        <v>109</v>
      </c>
      <c r="AY260" s="2" t="s">
        <v>109</v>
      </c>
      <c r="AZ260" s="2" t="s">
        <v>109</v>
      </c>
      <c r="BA260" s="2" t="s">
        <v>109</v>
      </c>
      <c r="BB260" s="2" t="s">
        <v>109</v>
      </c>
      <c r="BC260" s="2" t="s">
        <v>135</v>
      </c>
      <c r="BD260" s="2" t="s">
        <v>109</v>
      </c>
      <c r="BE260" s="2" t="s">
        <v>109</v>
      </c>
      <c r="BF260" s="2" t="s">
        <v>109</v>
      </c>
      <c r="BG260" s="2" t="s">
        <v>699</v>
      </c>
      <c r="BH260" s="2" t="s">
        <v>109</v>
      </c>
      <c r="BI260" s="68">
        <v>45777</v>
      </c>
      <c r="BJ260" s="68">
        <v>43465</v>
      </c>
      <c r="BK260" s="68">
        <v>45979</v>
      </c>
      <c r="BL260" s="98" t="s">
        <v>109</v>
      </c>
      <c r="BM260" s="2" t="s">
        <v>109</v>
      </c>
      <c r="BN260" s="2" t="b">
        <v>1</v>
      </c>
      <c r="BO260" s="85" t="s">
        <v>118</v>
      </c>
      <c r="BP260" s="2" t="s">
        <v>128</v>
      </c>
      <c r="CF260" s="2" t="s">
        <v>460</v>
      </c>
      <c r="CS260" s="145"/>
      <c r="CU260" s="132" t="s">
        <v>3187</v>
      </c>
      <c r="CW260" s="2" t="s">
        <v>3975</v>
      </c>
      <c r="CX260" s="38"/>
    </row>
    <row r="261" spans="1:102" x14ac:dyDescent="0.3">
      <c r="A261" s="4">
        <v>295</v>
      </c>
      <c r="B261" s="217" t="s">
        <v>3976</v>
      </c>
      <c r="C261" s="56"/>
      <c r="D261" s="4"/>
      <c r="E261" s="4"/>
      <c r="F261" s="46"/>
      <c r="G261" s="64"/>
      <c r="H261" s="64"/>
      <c r="I261" s="64"/>
      <c r="J261" s="64"/>
      <c r="K261" s="64"/>
      <c r="L261" s="64"/>
      <c r="M261" s="64"/>
      <c r="N261" s="64"/>
      <c r="O261" s="64"/>
      <c r="Q261" s="64"/>
      <c r="R261" s="64"/>
      <c r="S261" s="64"/>
      <c r="T261" s="64"/>
      <c r="U261" s="87"/>
      <c r="V261" s="4"/>
      <c r="W261" s="4"/>
      <c r="X261" s="4"/>
      <c r="Y261" s="4" t="s">
        <v>902</v>
      </c>
      <c r="AA261" s="4"/>
      <c r="AB261" s="4"/>
      <c r="AC261" s="4"/>
      <c r="AD261" s="91"/>
      <c r="AE261" s="4"/>
      <c r="AF261" s="4" t="s">
        <v>3977</v>
      </c>
      <c r="AG261" s="5" t="s">
        <v>3908</v>
      </c>
      <c r="AH261" s="5" t="s">
        <v>3978</v>
      </c>
      <c r="AI261" s="4"/>
      <c r="AJ261" s="4" t="s">
        <v>3909</v>
      </c>
      <c r="AK261" s="4"/>
      <c r="AL261" s="4" t="s">
        <v>3053</v>
      </c>
      <c r="AM261" s="69"/>
      <c r="AN261" s="91"/>
      <c r="AO261" s="4"/>
      <c r="AP261" s="217"/>
      <c r="AQ261" s="4"/>
      <c r="AR261" s="4"/>
      <c r="AS261" s="4"/>
      <c r="AT261" s="4"/>
      <c r="AU261" s="91"/>
      <c r="AV261" s="4"/>
      <c r="AW261" s="4"/>
      <c r="AY261" s="4"/>
      <c r="AZ261" s="4"/>
      <c r="BA261" s="4"/>
      <c r="BB261" s="4"/>
      <c r="BC261" s="4" t="s">
        <v>135</v>
      </c>
      <c r="BD261" s="4"/>
      <c r="BE261" s="4"/>
      <c r="BF261" s="4"/>
      <c r="BG261" s="4"/>
      <c r="BH261" s="4"/>
      <c r="BI261" s="69">
        <v>45523</v>
      </c>
      <c r="BJ261" s="69"/>
      <c r="BK261" s="69">
        <v>45617</v>
      </c>
      <c r="BL261" s="97"/>
      <c r="BM261" s="4"/>
      <c r="BN261" s="4"/>
      <c r="BO261" s="91"/>
      <c r="BP261" s="4"/>
      <c r="CF261" s="4"/>
      <c r="CS261" s="147"/>
      <c r="CU261" s="216" t="s">
        <v>3187</v>
      </c>
      <c r="CW261" s="4" t="s">
        <v>3979</v>
      </c>
      <c r="CX261" s="39"/>
    </row>
    <row r="262" spans="1:102" x14ac:dyDescent="0.3">
      <c r="A262" s="2">
        <v>296</v>
      </c>
      <c r="B262" s="109" t="s">
        <v>3980</v>
      </c>
      <c r="C262" s="55"/>
      <c r="D262" s="2"/>
      <c r="E262" s="2"/>
      <c r="F262" s="47"/>
      <c r="G262" s="67"/>
      <c r="H262" s="67"/>
      <c r="I262" s="67"/>
      <c r="J262" s="67"/>
      <c r="K262" s="67"/>
      <c r="L262" s="67"/>
      <c r="M262" s="67"/>
      <c r="N262" s="67"/>
      <c r="O262" s="67"/>
      <c r="Q262" s="67"/>
      <c r="R262" s="67"/>
      <c r="S262" s="67"/>
      <c r="T262" s="67"/>
      <c r="U262" s="86"/>
      <c r="V262" s="2"/>
      <c r="W262" s="2"/>
      <c r="X262" s="2"/>
      <c r="Y262" s="2" t="s">
        <v>902</v>
      </c>
      <c r="AA262" s="2"/>
      <c r="AB262" s="2"/>
      <c r="AC262" s="2"/>
      <c r="AD262" s="90"/>
      <c r="AE262" s="2"/>
      <c r="AF262" s="2" t="s">
        <v>3936</v>
      </c>
      <c r="AG262" s="3" t="s">
        <v>3908</v>
      </c>
      <c r="AH262" s="3" t="s">
        <v>3981</v>
      </c>
      <c r="AI262" s="2"/>
      <c r="AJ262" s="2" t="s">
        <v>3909</v>
      </c>
      <c r="AK262" s="2"/>
      <c r="AL262" s="2" t="s">
        <v>3053</v>
      </c>
      <c r="AM262" s="68"/>
      <c r="AN262" s="90"/>
      <c r="AO262" s="2"/>
      <c r="AP262" s="109"/>
      <c r="AQ262" s="2"/>
      <c r="AR262" s="2"/>
      <c r="AS262" s="2"/>
      <c r="AT262" s="2"/>
      <c r="AU262" s="90"/>
      <c r="AV262" s="2"/>
      <c r="AW262" s="2"/>
      <c r="AY262" s="2"/>
      <c r="AZ262" s="2"/>
      <c r="BA262" s="2"/>
      <c r="BB262" s="2"/>
      <c r="BC262" s="2" t="s">
        <v>135</v>
      </c>
      <c r="BD262" s="2"/>
      <c r="BE262" s="2"/>
      <c r="BF262" s="2"/>
      <c r="BG262" s="2"/>
      <c r="BH262" s="2"/>
      <c r="BI262" s="68">
        <v>44295</v>
      </c>
      <c r="BJ262" s="68"/>
      <c r="BK262" s="68">
        <v>45067</v>
      </c>
      <c r="BL262" s="98"/>
      <c r="BM262" s="2"/>
      <c r="BN262" s="2"/>
      <c r="BO262" s="90"/>
      <c r="BP262" s="2"/>
      <c r="CF262" s="2"/>
      <c r="CS262" s="146"/>
      <c r="CU262" s="132" t="s">
        <v>3187</v>
      </c>
      <c r="CW262" s="2" t="s">
        <v>3054</v>
      </c>
      <c r="CX262" s="38"/>
    </row>
    <row r="263" spans="1:102" x14ac:dyDescent="0.3">
      <c r="A263" s="4">
        <v>297</v>
      </c>
      <c r="B263" s="217" t="s">
        <v>3982</v>
      </c>
      <c r="C263" s="56"/>
      <c r="D263" s="4"/>
      <c r="E263" s="4"/>
      <c r="F263" s="46"/>
      <c r="G263" s="64"/>
      <c r="H263" s="64"/>
      <c r="I263" s="64"/>
      <c r="J263" s="64"/>
      <c r="K263" s="64"/>
      <c r="L263" s="64"/>
      <c r="M263" s="64"/>
      <c r="N263" s="64"/>
      <c r="O263" s="64"/>
      <c r="Q263" s="64"/>
      <c r="R263" s="64"/>
      <c r="S263" s="64"/>
      <c r="T263" s="64"/>
      <c r="U263" s="87"/>
      <c r="V263" s="4"/>
      <c r="W263" s="4"/>
      <c r="X263" s="4"/>
      <c r="Y263" s="4" t="s">
        <v>902</v>
      </c>
      <c r="AA263" s="4"/>
      <c r="AB263" s="4"/>
      <c r="AC263" s="4"/>
      <c r="AD263" s="91"/>
      <c r="AE263" s="4"/>
      <c r="AF263" s="4" t="s">
        <v>3914</v>
      </c>
      <c r="AG263" s="5" t="s">
        <v>3908</v>
      </c>
      <c r="AH263" s="5" t="s">
        <v>3983</v>
      </c>
      <c r="AI263" s="4"/>
      <c r="AJ263" s="4" t="s">
        <v>3909</v>
      </c>
      <c r="AK263" s="4"/>
      <c r="AL263" s="4" t="s">
        <v>3053</v>
      </c>
      <c r="AM263" s="69"/>
      <c r="AN263" s="91"/>
      <c r="AO263" s="4"/>
      <c r="AP263" s="217"/>
      <c r="AQ263" s="4"/>
      <c r="AR263" s="4"/>
      <c r="AS263" s="4"/>
      <c r="AT263" s="4"/>
      <c r="AU263" s="91"/>
      <c r="AV263" s="4"/>
      <c r="AW263" s="4"/>
      <c r="AY263" s="4"/>
      <c r="AZ263" s="4"/>
      <c r="BA263" s="4"/>
      <c r="BB263" s="4"/>
      <c r="BC263" s="4" t="s">
        <v>135</v>
      </c>
      <c r="BD263" s="4"/>
      <c r="BE263" s="4"/>
      <c r="BF263" s="4"/>
      <c r="BG263" s="4"/>
      <c r="BH263" s="4"/>
      <c r="BI263" s="69">
        <v>44911</v>
      </c>
      <c r="BJ263" s="69"/>
      <c r="BK263" s="69">
        <v>45269</v>
      </c>
      <c r="BL263" s="97"/>
      <c r="BM263" s="4"/>
      <c r="BN263" s="4"/>
      <c r="BO263" s="91"/>
      <c r="BP263" s="4"/>
      <c r="CF263" s="4"/>
      <c r="CS263" s="147"/>
      <c r="CU263" s="216" t="s">
        <v>3187</v>
      </c>
      <c r="CW263" s="4" t="s">
        <v>3054</v>
      </c>
      <c r="CX263" s="39"/>
    </row>
    <row r="264" spans="1:102" x14ac:dyDescent="0.3">
      <c r="A264" s="2">
        <v>298</v>
      </c>
      <c r="B264" s="109" t="s">
        <v>3984</v>
      </c>
      <c r="C264" s="55"/>
      <c r="D264" s="2"/>
      <c r="E264" s="2"/>
      <c r="F264" s="47"/>
      <c r="G264" s="67"/>
      <c r="H264" s="67"/>
      <c r="I264" s="67"/>
      <c r="J264" s="67"/>
      <c r="K264" s="67"/>
      <c r="L264" s="67"/>
      <c r="M264" s="67"/>
      <c r="N264" s="67"/>
      <c r="O264" s="67"/>
      <c r="Q264" s="67"/>
      <c r="R264" s="67"/>
      <c r="S264" s="67"/>
      <c r="T264" s="67"/>
      <c r="U264" s="86"/>
      <c r="V264" s="2"/>
      <c r="W264" s="2"/>
      <c r="X264" s="2"/>
      <c r="Y264" s="2" t="s">
        <v>902</v>
      </c>
      <c r="AA264" s="2"/>
      <c r="AB264" s="2"/>
      <c r="AC264" s="2"/>
      <c r="AD264" s="90"/>
      <c r="AE264" s="2"/>
      <c r="AF264" s="2" t="s">
        <v>3985</v>
      </c>
      <c r="AG264" s="3" t="s">
        <v>3908</v>
      </c>
      <c r="AH264" s="3" t="s">
        <v>3986</v>
      </c>
      <c r="AI264" s="2"/>
      <c r="AJ264" s="2" t="s">
        <v>3909</v>
      </c>
      <c r="AK264" s="2"/>
      <c r="AL264" s="2" t="s">
        <v>3053</v>
      </c>
      <c r="AM264" s="68"/>
      <c r="AN264" s="90"/>
      <c r="AO264" s="2"/>
      <c r="AP264" s="109"/>
      <c r="AQ264" s="2"/>
      <c r="AR264" s="2"/>
      <c r="AS264" s="2"/>
      <c r="AT264" s="2"/>
      <c r="AU264" s="90"/>
      <c r="AV264" s="2"/>
      <c r="AW264" s="2"/>
      <c r="AY264" s="2"/>
      <c r="AZ264" s="2"/>
      <c r="BA264" s="2"/>
      <c r="BB264" s="2"/>
      <c r="BC264" s="2" t="s">
        <v>135</v>
      </c>
      <c r="BD264" s="2"/>
      <c r="BE264" s="2"/>
      <c r="BF264" s="2"/>
      <c r="BG264" s="2"/>
      <c r="BH264" s="2"/>
      <c r="BI264" s="68">
        <v>45442</v>
      </c>
      <c r="BJ264" s="68"/>
      <c r="BK264" s="68">
        <v>45620</v>
      </c>
      <c r="BL264" s="98"/>
      <c r="BM264" s="2"/>
      <c r="BN264" s="2"/>
      <c r="BO264" s="90"/>
      <c r="BP264" s="2"/>
      <c r="CF264" s="2"/>
      <c r="CS264" s="146"/>
      <c r="CU264" s="132" t="s">
        <v>3187</v>
      </c>
      <c r="CW264" s="2" t="s">
        <v>3054</v>
      </c>
      <c r="CX264" s="38"/>
    </row>
    <row r="265" spans="1:102" x14ac:dyDescent="0.3">
      <c r="A265" s="4">
        <v>299</v>
      </c>
      <c r="B265" s="217" t="s">
        <v>3987</v>
      </c>
      <c r="C265" s="56"/>
      <c r="D265" s="4"/>
      <c r="E265" s="4"/>
      <c r="F265" s="46"/>
      <c r="G265" s="64"/>
      <c r="H265" s="64"/>
      <c r="I265" s="64"/>
      <c r="J265" s="64"/>
      <c r="K265" s="64"/>
      <c r="L265" s="64"/>
      <c r="M265" s="64"/>
      <c r="N265" s="64"/>
      <c r="O265" s="64"/>
      <c r="Q265" s="64"/>
      <c r="R265" s="64"/>
      <c r="S265" s="64"/>
      <c r="T265" s="64"/>
      <c r="U265" s="87"/>
      <c r="V265" s="4"/>
      <c r="W265" s="4"/>
      <c r="X265" s="4"/>
      <c r="Y265" s="4" t="s">
        <v>902</v>
      </c>
      <c r="AA265" s="4"/>
      <c r="AB265" s="4"/>
      <c r="AC265" s="4"/>
      <c r="AD265" s="91"/>
      <c r="AE265" s="4"/>
      <c r="AF265" s="4" t="s">
        <v>3957</v>
      </c>
      <c r="AG265" s="5" t="s">
        <v>3908</v>
      </c>
      <c r="AH265" s="5" t="s">
        <v>3988</v>
      </c>
      <c r="AI265" s="4"/>
      <c r="AJ265" s="4" t="s">
        <v>3909</v>
      </c>
      <c r="AK265" s="4"/>
      <c r="AL265" s="4" t="s">
        <v>3053</v>
      </c>
      <c r="AM265" s="69"/>
      <c r="AN265" s="91"/>
      <c r="AO265" s="4"/>
      <c r="AP265" s="217"/>
      <c r="AQ265" s="4"/>
      <c r="AR265" s="4"/>
      <c r="AS265" s="4"/>
      <c r="AT265" s="4"/>
      <c r="AU265" s="91"/>
      <c r="AV265" s="4"/>
      <c r="AW265" s="4"/>
      <c r="AY265" s="4"/>
      <c r="AZ265" s="4"/>
      <c r="BA265" s="4"/>
      <c r="BB265" s="4"/>
      <c r="BC265" s="4" t="s">
        <v>135</v>
      </c>
      <c r="BD265" s="4"/>
      <c r="BE265" s="4"/>
      <c r="BF265" s="4"/>
      <c r="BG265" s="4"/>
      <c r="BH265" s="4"/>
      <c r="BI265" s="69">
        <v>44936</v>
      </c>
      <c r="BJ265" s="69"/>
      <c r="BK265" s="69">
        <v>46022</v>
      </c>
      <c r="BL265" s="97"/>
      <c r="BM265" s="4"/>
      <c r="BN265" s="4"/>
      <c r="BO265" s="91"/>
      <c r="BP265" s="4"/>
      <c r="CF265" s="4"/>
      <c r="CS265" s="147"/>
      <c r="CU265" s="216" t="s">
        <v>3187</v>
      </c>
      <c r="CW265" s="4" t="s">
        <v>3054</v>
      </c>
      <c r="CX265" s="39"/>
    </row>
    <row r="266" spans="1:102" x14ac:dyDescent="0.3">
      <c r="A266" s="2">
        <v>300</v>
      </c>
      <c r="B266" s="109" t="s">
        <v>3989</v>
      </c>
      <c r="C266" s="55"/>
      <c r="D266" s="2"/>
      <c r="E266" s="2"/>
      <c r="F266" s="47"/>
      <c r="G266" s="67"/>
      <c r="H266" s="67"/>
      <c r="I266" s="67"/>
      <c r="J266" s="67"/>
      <c r="K266" s="67"/>
      <c r="L266" s="67"/>
      <c r="M266" s="67"/>
      <c r="N266" s="67"/>
      <c r="O266" s="67"/>
      <c r="Q266" s="67"/>
      <c r="R266" s="67"/>
      <c r="S266" s="67"/>
      <c r="T266" s="67"/>
      <c r="U266" s="86"/>
      <c r="V266" s="2"/>
      <c r="W266" s="2"/>
      <c r="X266" s="2"/>
      <c r="Y266" s="2" t="s">
        <v>902</v>
      </c>
      <c r="AA266" s="2"/>
      <c r="AB266" s="2"/>
      <c r="AC266" s="2"/>
      <c r="AD266" s="90"/>
      <c r="AE266" s="2"/>
      <c r="AF266" s="2" t="s">
        <v>3990</v>
      </c>
      <c r="AG266" s="3" t="s">
        <v>3908</v>
      </c>
      <c r="AH266" s="3" t="s">
        <v>3991</v>
      </c>
      <c r="AI266" s="2"/>
      <c r="AJ266" s="2" t="s">
        <v>3909</v>
      </c>
      <c r="AK266" s="2"/>
      <c r="AL266" s="2" t="s">
        <v>3053</v>
      </c>
      <c r="AM266" s="68"/>
      <c r="AN266" s="90"/>
      <c r="AO266" s="2"/>
      <c r="AP266" s="109"/>
      <c r="AQ266" s="2"/>
      <c r="AR266" s="2"/>
      <c r="AS266" s="2"/>
      <c r="AT266" s="2"/>
      <c r="AU266" s="90"/>
      <c r="AV266" s="2"/>
      <c r="AW266" s="2"/>
      <c r="AY266" s="2"/>
      <c r="AZ266" s="2"/>
      <c r="BA266" s="2"/>
      <c r="BB266" s="2"/>
      <c r="BC266" s="2" t="s">
        <v>135</v>
      </c>
      <c r="BD266" s="2"/>
      <c r="BE266" s="2"/>
      <c r="BF266" s="2"/>
      <c r="BG266" s="2"/>
      <c r="BH266" s="2"/>
      <c r="BI266" s="68">
        <v>44879</v>
      </c>
      <c r="BJ266" s="68"/>
      <c r="BK266" s="68">
        <v>45242</v>
      </c>
      <c r="BL266" s="98"/>
      <c r="BM266" s="2"/>
      <c r="BN266" s="2"/>
      <c r="BO266" s="90"/>
      <c r="BP266" s="2"/>
      <c r="CF266" s="2"/>
      <c r="CS266" s="146"/>
      <c r="CU266" s="132" t="s">
        <v>3187</v>
      </c>
      <c r="CW266" s="2" t="s">
        <v>3992</v>
      </c>
      <c r="CX266" s="38"/>
    </row>
    <row r="267" spans="1:102" x14ac:dyDescent="0.3">
      <c r="A267" s="4">
        <v>301</v>
      </c>
      <c r="B267" s="217" t="s">
        <v>3993</v>
      </c>
      <c r="C267" s="56"/>
      <c r="D267" s="4"/>
      <c r="E267" s="4"/>
      <c r="F267" s="46"/>
      <c r="G267" s="64"/>
      <c r="H267" s="64"/>
      <c r="I267" s="64"/>
      <c r="J267" s="64"/>
      <c r="K267" s="64"/>
      <c r="L267" s="64"/>
      <c r="M267" s="64"/>
      <c r="N267" s="64"/>
      <c r="O267" s="64"/>
      <c r="Q267" s="64"/>
      <c r="R267" s="64"/>
      <c r="S267" s="64"/>
      <c r="T267" s="64"/>
      <c r="U267" s="87"/>
      <c r="V267" s="4"/>
      <c r="W267" s="4"/>
      <c r="X267" s="4"/>
      <c r="Y267" s="4" t="s">
        <v>902</v>
      </c>
      <c r="AA267" s="4"/>
      <c r="AB267" s="4"/>
      <c r="AC267" s="4"/>
      <c r="AD267" s="91"/>
      <c r="AE267" s="4"/>
      <c r="AF267" s="4" t="s">
        <v>3994</v>
      </c>
      <c r="AG267" s="5" t="s">
        <v>3908</v>
      </c>
      <c r="AH267" s="5" t="s">
        <v>3995</v>
      </c>
      <c r="AI267" s="4"/>
      <c r="AJ267" s="4" t="s">
        <v>3909</v>
      </c>
      <c r="AK267" s="4"/>
      <c r="AL267" s="4" t="s">
        <v>3053</v>
      </c>
      <c r="AM267" s="69"/>
      <c r="AN267" s="91"/>
      <c r="AO267" s="4"/>
      <c r="AP267" s="217"/>
      <c r="AQ267" s="4"/>
      <c r="AR267" s="4"/>
      <c r="AS267" s="4"/>
      <c r="AT267" s="4"/>
      <c r="AU267" s="91"/>
      <c r="AV267" s="4"/>
      <c r="AW267" s="4"/>
      <c r="AY267" s="4"/>
      <c r="AZ267" s="4"/>
      <c r="BA267" s="4"/>
      <c r="BB267" s="4"/>
      <c r="BC267" s="4" t="s">
        <v>135</v>
      </c>
      <c r="BD267" s="4"/>
      <c r="BE267" s="4"/>
      <c r="BF267" s="4"/>
      <c r="BG267" s="4"/>
      <c r="BH267" s="4"/>
      <c r="BI267" s="69">
        <v>45441</v>
      </c>
      <c r="BJ267" s="69"/>
      <c r="BK267" s="69">
        <v>45620</v>
      </c>
      <c r="BL267" s="97"/>
      <c r="BM267" s="4"/>
      <c r="BN267" s="4"/>
      <c r="BO267" s="91"/>
      <c r="BP267" s="4"/>
      <c r="CF267" s="4"/>
      <c r="CS267" s="147"/>
      <c r="CU267" s="216" t="s">
        <v>3187</v>
      </c>
      <c r="CW267" s="4" t="s">
        <v>3996</v>
      </c>
      <c r="CX267" s="39"/>
    </row>
    <row r="268" spans="1:102" x14ac:dyDescent="0.3">
      <c r="A268" s="2">
        <v>302</v>
      </c>
      <c r="B268" s="109" t="s">
        <v>3997</v>
      </c>
      <c r="C268" s="55"/>
      <c r="D268" s="2"/>
      <c r="E268" s="2"/>
      <c r="F268" s="47"/>
      <c r="G268" s="67"/>
      <c r="H268" s="67"/>
      <c r="I268" s="67"/>
      <c r="J268" s="67"/>
      <c r="K268" s="67"/>
      <c r="L268" s="67"/>
      <c r="M268" s="67"/>
      <c r="N268" s="67"/>
      <c r="O268" s="67"/>
      <c r="Q268" s="67"/>
      <c r="R268" s="67"/>
      <c r="S268" s="67"/>
      <c r="T268" s="67"/>
      <c r="U268" s="86"/>
      <c r="V268" s="2"/>
      <c r="W268" s="2"/>
      <c r="X268" s="2"/>
      <c r="Y268" s="2" t="s">
        <v>902</v>
      </c>
      <c r="AA268" s="2"/>
      <c r="AB268" s="2"/>
      <c r="AC268" s="2"/>
      <c r="AD268" s="90"/>
      <c r="AE268" s="2"/>
      <c r="AF268" s="2" t="s">
        <v>3051</v>
      </c>
      <c r="AG268" s="3" t="s">
        <v>3908</v>
      </c>
      <c r="AH268" s="3" t="s">
        <v>3998</v>
      </c>
      <c r="AI268" s="2"/>
      <c r="AJ268" s="2" t="s">
        <v>3909</v>
      </c>
      <c r="AK268" s="2"/>
      <c r="AL268" s="2" t="s">
        <v>3053</v>
      </c>
      <c r="AM268" s="68"/>
      <c r="AN268" s="90"/>
      <c r="AO268" s="2"/>
      <c r="AP268" s="109"/>
      <c r="AQ268" s="2"/>
      <c r="AR268" s="2"/>
      <c r="AS268" s="2"/>
      <c r="AT268" s="2"/>
      <c r="AU268" s="90"/>
      <c r="AV268" s="2"/>
      <c r="AW268" s="2"/>
      <c r="AY268" s="2"/>
      <c r="AZ268" s="2"/>
      <c r="BA268" s="2"/>
      <c r="BB268" s="2"/>
      <c r="BC268" s="2"/>
      <c r="BD268" s="2"/>
      <c r="BE268" s="2"/>
      <c r="BF268" s="2"/>
      <c r="BG268" s="2"/>
      <c r="BH268" s="2"/>
      <c r="BI268" s="68"/>
      <c r="BJ268" s="68"/>
      <c r="BK268" s="68"/>
      <c r="BL268" s="98"/>
      <c r="BM268" s="2"/>
      <c r="BN268" s="2"/>
      <c r="BO268" s="90"/>
      <c r="BP268" s="2"/>
      <c r="CF268" s="2"/>
      <c r="CS268" s="146"/>
      <c r="CU268" s="132" t="s">
        <v>3187</v>
      </c>
      <c r="CW268" s="2" t="s">
        <v>3054</v>
      </c>
      <c r="CX268" s="38"/>
    </row>
    <row r="269" spans="1:102" x14ac:dyDescent="0.3">
      <c r="A269" s="4">
        <v>303</v>
      </c>
      <c r="B269" s="217" t="s">
        <v>3999</v>
      </c>
      <c r="C269" s="56"/>
      <c r="D269" s="4"/>
      <c r="E269" s="4"/>
      <c r="F269" s="46"/>
      <c r="G269" s="64"/>
      <c r="H269" s="64"/>
      <c r="I269" s="64"/>
      <c r="J269" s="64"/>
      <c r="K269" s="64"/>
      <c r="L269" s="64"/>
      <c r="M269" s="64"/>
      <c r="N269" s="64"/>
      <c r="O269" s="64"/>
      <c r="Q269" s="64"/>
      <c r="R269" s="64"/>
      <c r="S269" s="64"/>
      <c r="T269" s="64"/>
      <c r="U269" s="87"/>
      <c r="V269" s="4"/>
      <c r="W269" s="4"/>
      <c r="X269" s="4"/>
      <c r="Y269" s="4" t="s">
        <v>902</v>
      </c>
      <c r="AA269" s="4"/>
      <c r="AB269" s="4"/>
      <c r="AC269" s="4"/>
      <c r="AD269" s="91"/>
      <c r="AE269" s="4"/>
      <c r="AF269" s="4" t="s">
        <v>3972</v>
      </c>
      <c r="AG269" s="5" t="s">
        <v>3908</v>
      </c>
      <c r="AH269" s="5" t="s">
        <v>4000</v>
      </c>
      <c r="AI269" s="4"/>
      <c r="AJ269" s="4" t="s">
        <v>3909</v>
      </c>
      <c r="AK269" s="4"/>
      <c r="AL269" s="4" t="s">
        <v>3053</v>
      </c>
      <c r="AM269" s="69"/>
      <c r="AN269" s="91"/>
      <c r="AO269" s="4"/>
      <c r="AP269" s="217"/>
      <c r="AQ269" s="4"/>
      <c r="AR269" s="4"/>
      <c r="AS269" s="4"/>
      <c r="AT269" s="4"/>
      <c r="AU269" s="91"/>
      <c r="AV269" s="4"/>
      <c r="AW269" s="4"/>
      <c r="AY269" s="4"/>
      <c r="AZ269" s="4"/>
      <c r="BA269" s="4"/>
      <c r="BB269" s="4"/>
      <c r="BC269" s="4" t="s">
        <v>135</v>
      </c>
      <c r="BD269" s="4"/>
      <c r="BE269" s="4"/>
      <c r="BF269" s="4"/>
      <c r="BG269" s="4"/>
      <c r="BH269" s="4"/>
      <c r="BI269" s="69">
        <v>45777</v>
      </c>
      <c r="BJ269" s="69"/>
      <c r="BK269" s="69">
        <v>45979</v>
      </c>
      <c r="BL269" s="97"/>
      <c r="BM269" s="4"/>
      <c r="BN269" s="4"/>
      <c r="BO269" s="91"/>
      <c r="BP269" s="4"/>
      <c r="CF269" s="4"/>
      <c r="CS269" s="147"/>
      <c r="CU269" s="216" t="s">
        <v>3187</v>
      </c>
      <c r="CW269" s="4" t="s">
        <v>3054</v>
      </c>
      <c r="CX269" s="39"/>
    </row>
    <row r="270" spans="1:102" x14ac:dyDescent="0.3">
      <c r="A270" s="2">
        <v>304</v>
      </c>
      <c r="B270" s="109" t="s">
        <v>4001</v>
      </c>
      <c r="C270" s="55"/>
      <c r="D270" s="2"/>
      <c r="E270" s="2"/>
      <c r="F270" s="47"/>
      <c r="G270" s="67"/>
      <c r="H270" s="67"/>
      <c r="I270" s="67"/>
      <c r="J270" s="67"/>
      <c r="K270" s="67"/>
      <c r="L270" s="67"/>
      <c r="M270" s="67"/>
      <c r="N270" s="67"/>
      <c r="O270" s="67"/>
      <c r="Q270" s="67"/>
      <c r="R270" s="67"/>
      <c r="S270" s="67"/>
      <c r="T270" s="67"/>
      <c r="U270" s="86"/>
      <c r="V270" s="2"/>
      <c r="W270" s="2"/>
      <c r="X270" s="2"/>
      <c r="Y270" s="2" t="s">
        <v>902</v>
      </c>
      <c r="AA270" s="2"/>
      <c r="AB270" s="2"/>
      <c r="AC270" s="2"/>
      <c r="AD270" s="90"/>
      <c r="AE270" s="2"/>
      <c r="AF270" s="2" t="s">
        <v>3936</v>
      </c>
      <c r="AG270" s="3" t="s">
        <v>3908</v>
      </c>
      <c r="AH270" s="3" t="s">
        <v>4002</v>
      </c>
      <c r="AI270" s="2"/>
      <c r="AJ270" s="2" t="s">
        <v>3909</v>
      </c>
      <c r="AK270" s="2"/>
      <c r="AL270" s="2" t="s">
        <v>3053</v>
      </c>
      <c r="AM270" s="68"/>
      <c r="AN270" s="90"/>
      <c r="AO270" s="2"/>
      <c r="AP270" s="109"/>
      <c r="AQ270" s="2"/>
      <c r="AR270" s="2"/>
      <c r="AS270" s="2"/>
      <c r="AT270" s="2"/>
      <c r="AU270" s="90"/>
      <c r="AV270" s="2"/>
      <c r="AW270" s="2"/>
      <c r="AY270" s="2"/>
      <c r="AZ270" s="2"/>
      <c r="BA270" s="2"/>
      <c r="BB270" s="2"/>
      <c r="BC270" s="2" t="s">
        <v>135</v>
      </c>
      <c r="BD270" s="2"/>
      <c r="BE270" s="2"/>
      <c r="BF270" s="2"/>
      <c r="BG270" s="2"/>
      <c r="BH270" s="2"/>
      <c r="BI270" s="68">
        <v>44295</v>
      </c>
      <c r="BJ270" s="68"/>
      <c r="BK270" s="68">
        <v>45067</v>
      </c>
      <c r="BL270" s="98"/>
      <c r="BM270" s="2"/>
      <c r="BN270" s="2"/>
      <c r="BO270" s="90"/>
      <c r="BP270" s="2"/>
      <c r="CF270" s="2"/>
      <c r="CS270" s="146"/>
      <c r="CU270" s="132" t="s">
        <v>3187</v>
      </c>
      <c r="CW270" s="2" t="s">
        <v>3054</v>
      </c>
      <c r="CX270" s="38"/>
    </row>
    <row r="271" spans="1:102" x14ac:dyDescent="0.3">
      <c r="A271" s="4">
        <v>305</v>
      </c>
      <c r="B271" s="217" t="s">
        <v>4003</v>
      </c>
      <c r="C271" s="56"/>
      <c r="D271" s="4"/>
      <c r="E271" s="4"/>
      <c r="F271" s="46"/>
      <c r="G271" s="64"/>
      <c r="H271" s="64"/>
      <c r="I271" s="64"/>
      <c r="J271" s="64"/>
      <c r="K271" s="64"/>
      <c r="L271" s="64"/>
      <c r="M271" s="64"/>
      <c r="N271" s="64"/>
      <c r="O271" s="64"/>
      <c r="Q271" s="64"/>
      <c r="R271" s="64"/>
      <c r="S271" s="64"/>
      <c r="T271" s="64"/>
      <c r="U271" s="87"/>
      <c r="V271" s="4"/>
      <c r="W271" s="4"/>
      <c r="X271" s="4"/>
      <c r="Y271" s="4" t="s">
        <v>902</v>
      </c>
      <c r="AA271" s="4"/>
      <c r="AB271" s="4"/>
      <c r="AC271" s="4"/>
      <c r="AD271" s="91"/>
      <c r="AE271" s="4"/>
      <c r="AF271" s="4" t="s">
        <v>3914</v>
      </c>
      <c r="AG271" s="5" t="s">
        <v>3908</v>
      </c>
      <c r="AH271" s="5" t="s">
        <v>4004</v>
      </c>
      <c r="AI271" s="4"/>
      <c r="AJ271" s="4" t="s">
        <v>3909</v>
      </c>
      <c r="AK271" s="4"/>
      <c r="AL271" s="4" t="s">
        <v>3053</v>
      </c>
      <c r="AM271" s="69"/>
      <c r="AN271" s="91"/>
      <c r="AO271" s="4"/>
      <c r="AP271" s="217"/>
      <c r="AQ271" s="4"/>
      <c r="AR271" s="4"/>
      <c r="AS271" s="4"/>
      <c r="AT271" s="4"/>
      <c r="AU271" s="91"/>
      <c r="AV271" s="4"/>
      <c r="AW271" s="4"/>
      <c r="AY271" s="4"/>
      <c r="AZ271" s="4"/>
      <c r="BA271" s="4"/>
      <c r="BB271" s="4"/>
      <c r="BC271" s="4" t="s">
        <v>135</v>
      </c>
      <c r="BD271" s="4"/>
      <c r="BE271" s="4"/>
      <c r="BF271" s="4"/>
      <c r="BG271" s="4"/>
      <c r="BH271" s="4"/>
      <c r="BI271" s="69">
        <v>44911</v>
      </c>
      <c r="BJ271" s="69"/>
      <c r="BK271" s="69">
        <v>45269</v>
      </c>
      <c r="BL271" s="97"/>
      <c r="BM271" s="4"/>
      <c r="BN271" s="4"/>
      <c r="BO271" s="91"/>
      <c r="BP271" s="4"/>
      <c r="CF271" s="4"/>
      <c r="CS271" s="147"/>
      <c r="CU271" s="216" t="s">
        <v>3187</v>
      </c>
      <c r="CW271" s="4" t="s">
        <v>3054</v>
      </c>
      <c r="CX271" s="39"/>
    </row>
    <row r="272" spans="1:102" x14ac:dyDescent="0.3">
      <c r="A272" s="2">
        <v>306</v>
      </c>
      <c r="B272" s="109" t="s">
        <v>4005</v>
      </c>
      <c r="C272" s="55"/>
      <c r="D272" s="2"/>
      <c r="E272" s="2"/>
      <c r="F272" s="47"/>
      <c r="G272" s="67"/>
      <c r="H272" s="67"/>
      <c r="I272" s="67"/>
      <c r="J272" s="67"/>
      <c r="K272" s="67"/>
      <c r="L272" s="67"/>
      <c r="M272" s="67"/>
      <c r="N272" s="67"/>
      <c r="O272" s="67"/>
      <c r="Q272" s="67"/>
      <c r="R272" s="67"/>
      <c r="S272" s="67"/>
      <c r="T272" s="67"/>
      <c r="U272" s="86"/>
      <c r="V272" s="2"/>
      <c r="W272" s="2"/>
      <c r="X272" s="2"/>
      <c r="Y272" s="2" t="s">
        <v>902</v>
      </c>
      <c r="AA272" s="2"/>
      <c r="AB272" s="2"/>
      <c r="AC272" s="2"/>
      <c r="AD272" s="90"/>
      <c r="AE272" s="2"/>
      <c r="AF272" s="2" t="s">
        <v>4006</v>
      </c>
      <c r="AG272" s="3" t="s">
        <v>3908</v>
      </c>
      <c r="AH272" s="3" t="s">
        <v>4007</v>
      </c>
      <c r="AI272" s="2"/>
      <c r="AJ272" s="2" t="s">
        <v>3909</v>
      </c>
      <c r="AK272" s="2"/>
      <c r="AL272" s="2" t="s">
        <v>3053</v>
      </c>
      <c r="AM272" s="68"/>
      <c r="AN272" s="90"/>
      <c r="AO272" s="2"/>
      <c r="AP272" s="109"/>
      <c r="AQ272" s="2"/>
      <c r="AR272" s="2"/>
      <c r="AS272" s="2"/>
      <c r="AT272" s="2"/>
      <c r="AU272" s="90"/>
      <c r="AV272" s="2"/>
      <c r="AW272" s="2"/>
      <c r="AY272" s="2"/>
      <c r="AZ272" s="2"/>
      <c r="BA272" s="2"/>
      <c r="BB272" s="2"/>
      <c r="BC272" s="2" t="s">
        <v>135</v>
      </c>
      <c r="BD272" s="2"/>
      <c r="BE272" s="2"/>
      <c r="BF272" s="2"/>
      <c r="BG272" s="2"/>
      <c r="BH272" s="2"/>
      <c r="BI272" s="68">
        <v>45126</v>
      </c>
      <c r="BJ272" s="68"/>
      <c r="BK272" s="68">
        <v>45567</v>
      </c>
      <c r="BL272" s="98"/>
      <c r="BM272" s="2"/>
      <c r="BN272" s="2"/>
      <c r="BO272" s="90"/>
      <c r="BP272" s="2"/>
      <c r="CF272" s="2"/>
      <c r="CS272" s="146"/>
      <c r="CU272" s="132" t="s">
        <v>3187</v>
      </c>
      <c r="CW272" s="2" t="s">
        <v>4008</v>
      </c>
      <c r="CX272" s="38"/>
    </row>
    <row r="273" spans="1:102" x14ac:dyDescent="0.3">
      <c r="A273" s="4">
        <v>307</v>
      </c>
      <c r="B273" s="217" t="s">
        <v>4009</v>
      </c>
      <c r="C273" s="56"/>
      <c r="D273" s="4"/>
      <c r="E273" s="4"/>
      <c r="F273" s="46"/>
      <c r="G273" s="64"/>
      <c r="H273" s="64"/>
      <c r="I273" s="64"/>
      <c r="J273" s="64"/>
      <c r="K273" s="64"/>
      <c r="L273" s="64"/>
      <c r="M273" s="64"/>
      <c r="N273" s="64"/>
      <c r="O273" s="64"/>
      <c r="Q273" s="64"/>
      <c r="R273" s="64"/>
      <c r="S273" s="64"/>
      <c r="T273" s="64"/>
      <c r="U273" s="87"/>
      <c r="V273" s="4"/>
      <c r="W273" s="4"/>
      <c r="X273" s="4"/>
      <c r="Y273" s="4" t="s">
        <v>902</v>
      </c>
      <c r="AA273" s="4"/>
      <c r="AB273" s="4"/>
      <c r="AC273" s="4"/>
      <c r="AD273" s="91"/>
      <c r="AE273" s="4"/>
      <c r="AF273" s="4" t="s">
        <v>4010</v>
      </c>
      <c r="AG273" s="5" t="s">
        <v>3908</v>
      </c>
      <c r="AH273" s="5" t="s">
        <v>4011</v>
      </c>
      <c r="AI273" s="4"/>
      <c r="AJ273" s="4" t="s">
        <v>3909</v>
      </c>
      <c r="AK273" s="4"/>
      <c r="AL273" s="4" t="s">
        <v>3053</v>
      </c>
      <c r="AM273" s="69"/>
      <c r="AN273" s="91"/>
      <c r="AO273" s="4"/>
      <c r="AP273" s="217"/>
      <c r="AQ273" s="4"/>
      <c r="AR273" s="4"/>
      <c r="AS273" s="4"/>
      <c r="AT273" s="4"/>
      <c r="AU273" s="91"/>
      <c r="AV273" s="4"/>
      <c r="AW273" s="4"/>
      <c r="AY273" s="4"/>
      <c r="AZ273" s="4"/>
      <c r="BA273" s="4"/>
      <c r="BB273" s="4"/>
      <c r="BC273" s="4" t="s">
        <v>135</v>
      </c>
      <c r="BD273" s="4"/>
      <c r="BE273" s="4"/>
      <c r="BF273" s="4"/>
      <c r="BG273" s="4"/>
      <c r="BH273" s="4"/>
      <c r="BI273" s="69">
        <v>44256</v>
      </c>
      <c r="BJ273" s="69"/>
      <c r="BK273" s="69">
        <v>44307</v>
      </c>
      <c r="BL273" s="97"/>
      <c r="BM273" s="4"/>
      <c r="BN273" s="4"/>
      <c r="BO273" s="91"/>
      <c r="BP273" s="4"/>
      <c r="CF273" s="4"/>
      <c r="CS273" s="147"/>
      <c r="CU273" s="216" t="s">
        <v>3187</v>
      </c>
      <c r="CW273" s="4" t="s">
        <v>3951</v>
      </c>
      <c r="CX273" s="39"/>
    </row>
    <row r="274" spans="1:102" x14ac:dyDescent="0.3">
      <c r="A274" s="2">
        <v>308</v>
      </c>
      <c r="B274" s="109" t="s">
        <v>4012</v>
      </c>
      <c r="C274" s="55"/>
      <c r="D274" s="2"/>
      <c r="E274" s="2"/>
      <c r="F274" s="47"/>
      <c r="G274" s="67"/>
      <c r="H274" s="67"/>
      <c r="I274" s="67"/>
      <c r="J274" s="67"/>
      <c r="K274" s="67"/>
      <c r="L274" s="67"/>
      <c r="M274" s="67"/>
      <c r="N274" s="67"/>
      <c r="O274" s="67"/>
      <c r="Q274" s="67"/>
      <c r="R274" s="67"/>
      <c r="S274" s="67"/>
      <c r="T274" s="67"/>
      <c r="U274" s="86"/>
      <c r="V274" s="2"/>
      <c r="W274" s="2"/>
      <c r="X274" s="2"/>
      <c r="Y274" s="2" t="s">
        <v>902</v>
      </c>
      <c r="AA274" s="2"/>
      <c r="AB274" s="2"/>
      <c r="AC274" s="2"/>
      <c r="AD274" s="90"/>
      <c r="AE274" s="2"/>
      <c r="AF274" s="2" t="s">
        <v>3051</v>
      </c>
      <c r="AG274" s="3" t="s">
        <v>3908</v>
      </c>
      <c r="AH274" s="3" t="s">
        <v>4013</v>
      </c>
      <c r="AI274" s="2"/>
      <c r="AJ274" s="2" t="s">
        <v>3909</v>
      </c>
      <c r="AK274" s="2"/>
      <c r="AL274" s="2" t="s">
        <v>3053</v>
      </c>
      <c r="AM274" s="68"/>
      <c r="AN274" s="90"/>
      <c r="AO274" s="2"/>
      <c r="AP274" s="109"/>
      <c r="AQ274" s="2"/>
      <c r="AR274" s="2"/>
      <c r="AS274" s="2"/>
      <c r="AT274" s="2"/>
      <c r="AU274" s="90"/>
      <c r="AV274" s="2"/>
      <c r="AW274" s="2"/>
      <c r="AY274" s="2"/>
      <c r="AZ274" s="2"/>
      <c r="BA274" s="2"/>
      <c r="BB274" s="2"/>
      <c r="BC274" s="2"/>
      <c r="BD274" s="2"/>
      <c r="BE274" s="2"/>
      <c r="BF274" s="2"/>
      <c r="BG274" s="2"/>
      <c r="BH274" s="2"/>
      <c r="BI274" s="68"/>
      <c r="BJ274" s="68"/>
      <c r="BK274" s="68"/>
      <c r="BL274" s="98"/>
      <c r="BM274" s="2"/>
      <c r="BN274" s="2"/>
      <c r="BO274" s="90"/>
      <c r="BP274" s="2"/>
      <c r="CF274" s="2"/>
      <c r="CS274" s="146"/>
      <c r="CU274" s="132" t="s">
        <v>3187</v>
      </c>
      <c r="CW274" s="2" t="s">
        <v>3054</v>
      </c>
      <c r="CX274" s="38"/>
    </row>
    <row r="275" spans="1:102" ht="27" x14ac:dyDescent="0.3">
      <c r="A275" s="4">
        <v>309</v>
      </c>
      <c r="B275" s="44" t="s">
        <v>1879</v>
      </c>
      <c r="C275" s="57" t="s">
        <v>109</v>
      </c>
      <c r="D275" s="4" t="s">
        <v>109</v>
      </c>
      <c r="E275" s="4" t="s">
        <v>119</v>
      </c>
      <c r="F275" s="44" t="s">
        <v>1880</v>
      </c>
      <c r="G275" s="56" t="s">
        <v>688</v>
      </c>
      <c r="H275" s="4" t="s">
        <v>146</v>
      </c>
      <c r="I275" s="4" t="s">
        <v>109</v>
      </c>
      <c r="J275" s="4" t="s">
        <v>109</v>
      </c>
      <c r="K275" s="4" t="s">
        <v>1728</v>
      </c>
      <c r="L275" s="4" t="s">
        <v>251</v>
      </c>
      <c r="M275" s="4" t="s">
        <v>109</v>
      </c>
      <c r="N275" s="4" t="s">
        <v>109</v>
      </c>
      <c r="O275" s="4" t="s">
        <v>109</v>
      </c>
      <c r="Q275" s="4" t="s">
        <v>109</v>
      </c>
      <c r="R275" s="4" t="s">
        <v>109</v>
      </c>
      <c r="S275" s="4" t="s">
        <v>109</v>
      </c>
      <c r="T275" s="4" t="s">
        <v>109</v>
      </c>
      <c r="U275" s="4" t="s">
        <v>1671</v>
      </c>
      <c r="V275" s="4" t="s">
        <v>4014</v>
      </c>
      <c r="W275" s="4" t="b">
        <v>0</v>
      </c>
      <c r="X275" s="4" t="s">
        <v>224</v>
      </c>
      <c r="Y275" s="4" t="s">
        <v>902</v>
      </c>
      <c r="AA275" s="4" t="s">
        <v>118</v>
      </c>
      <c r="AB275" s="95" t="s">
        <v>109</v>
      </c>
      <c r="AC275" s="4" t="s">
        <v>119</v>
      </c>
      <c r="AD275" s="4" t="s">
        <v>109</v>
      </c>
      <c r="AE275" s="4">
        <v>1.1000000000000001</v>
      </c>
      <c r="AF275" s="4" t="s">
        <v>3023</v>
      </c>
      <c r="AG275" s="5" t="s">
        <v>3973</v>
      </c>
      <c r="AH275" s="5" t="s">
        <v>3025</v>
      </c>
      <c r="AI275" s="4">
        <v>363</v>
      </c>
      <c r="AJ275" s="4" t="s">
        <v>4015</v>
      </c>
      <c r="AK275" s="4" t="s">
        <v>121</v>
      </c>
      <c r="AL275" s="4" t="s">
        <v>3027</v>
      </c>
      <c r="AM275" s="69">
        <v>45257</v>
      </c>
      <c r="AN275" s="4" t="s">
        <v>122</v>
      </c>
      <c r="AO275" s="4" t="s">
        <v>109</v>
      </c>
      <c r="AP275" s="217" t="s">
        <v>109</v>
      </c>
      <c r="AQ275" s="4" t="b">
        <v>0</v>
      </c>
      <c r="AR275" s="4" t="s">
        <v>109</v>
      </c>
      <c r="AS275" s="4" t="s">
        <v>109</v>
      </c>
      <c r="AT275" s="4" t="s">
        <v>109</v>
      </c>
      <c r="AU275" s="4" t="b">
        <v>0</v>
      </c>
      <c r="AV275" s="4" t="s">
        <v>123</v>
      </c>
      <c r="AW275" s="4" t="s">
        <v>118</v>
      </c>
      <c r="AY275" s="4" t="s">
        <v>109</v>
      </c>
      <c r="AZ275" s="4" t="s">
        <v>109</v>
      </c>
      <c r="BA275" s="4" t="s">
        <v>226</v>
      </c>
      <c r="BB275" s="4" t="s">
        <v>118</v>
      </c>
      <c r="BC275" s="4" t="s">
        <v>135</v>
      </c>
      <c r="BD275" s="4" t="s">
        <v>109</v>
      </c>
      <c r="BE275" s="4" t="s">
        <v>109</v>
      </c>
      <c r="BF275" s="4" t="s">
        <v>109</v>
      </c>
      <c r="BG275" s="4" t="s">
        <v>126</v>
      </c>
      <c r="BH275" s="4" t="s">
        <v>109</v>
      </c>
      <c r="BI275" s="122" t="s">
        <v>109</v>
      </c>
      <c r="BJ275" s="69">
        <v>45657</v>
      </c>
      <c r="BK275" s="69">
        <v>44548</v>
      </c>
      <c r="BL275" s="97" t="s">
        <v>109</v>
      </c>
      <c r="BM275" s="4" t="s">
        <v>109</v>
      </c>
      <c r="BN275" s="4" t="b">
        <v>1</v>
      </c>
      <c r="BO275" s="130" t="s">
        <v>118</v>
      </c>
      <c r="BP275" s="4" t="s">
        <v>128</v>
      </c>
      <c r="CF275" s="4" t="s">
        <v>129</v>
      </c>
      <c r="CS275" s="144"/>
      <c r="CU275" s="216" t="s">
        <v>3187</v>
      </c>
      <c r="CW275" s="4" t="s">
        <v>3029</v>
      </c>
      <c r="CX275" s="221" t="s">
        <v>3910</v>
      </c>
    </row>
    <row r="276" spans="1:102" ht="39.6" x14ac:dyDescent="0.3">
      <c r="A276" s="2">
        <v>310</v>
      </c>
      <c r="B276" s="43" t="s">
        <v>1882</v>
      </c>
      <c r="C276" s="52">
        <v>32.75</v>
      </c>
      <c r="D276" s="2">
        <v>-116.74</v>
      </c>
      <c r="E276" s="2" t="s">
        <v>109</v>
      </c>
      <c r="F276" s="47" t="s">
        <v>1845</v>
      </c>
      <c r="G276" s="67" t="s">
        <v>688</v>
      </c>
      <c r="H276" s="2" t="s">
        <v>146</v>
      </c>
      <c r="I276" s="2" t="s">
        <v>109</v>
      </c>
      <c r="J276" s="2" t="s">
        <v>109</v>
      </c>
      <c r="K276" s="2" t="s">
        <v>1728</v>
      </c>
      <c r="L276" s="2" t="s">
        <v>251</v>
      </c>
      <c r="M276" s="2" t="s">
        <v>109</v>
      </c>
      <c r="N276" s="2" t="s">
        <v>109</v>
      </c>
      <c r="O276" s="68">
        <v>45486</v>
      </c>
      <c r="Q276" s="2" t="s">
        <v>109</v>
      </c>
      <c r="R276" s="2" t="s">
        <v>109</v>
      </c>
      <c r="S276" s="2" t="s">
        <v>109</v>
      </c>
      <c r="T276" s="2" t="s">
        <v>109</v>
      </c>
      <c r="U276" s="2" t="s">
        <v>116</v>
      </c>
      <c r="V276" s="2" t="s">
        <v>3971</v>
      </c>
      <c r="W276" s="2" t="b">
        <v>0</v>
      </c>
      <c r="X276" s="2" t="s">
        <v>109</v>
      </c>
      <c r="Y276" s="2" t="s">
        <v>902</v>
      </c>
      <c r="AA276" s="2" t="s">
        <v>109</v>
      </c>
      <c r="AB276" s="2" t="s">
        <v>109</v>
      </c>
      <c r="AC276" s="2" t="s">
        <v>304</v>
      </c>
      <c r="AD276" s="2" t="s">
        <v>109</v>
      </c>
      <c r="AE276" s="2">
        <v>1.1000000000000001</v>
      </c>
      <c r="AF276" s="2" t="s">
        <v>4016</v>
      </c>
      <c r="AG276" s="3" t="s">
        <v>3973</v>
      </c>
      <c r="AH276" s="3" t="s">
        <v>4017</v>
      </c>
      <c r="AI276" s="2">
        <v>1</v>
      </c>
      <c r="AJ276" s="2" t="s">
        <v>4015</v>
      </c>
      <c r="AK276" s="2" t="s">
        <v>121</v>
      </c>
      <c r="AL276" s="2" t="s">
        <v>3027</v>
      </c>
      <c r="AM276" s="68">
        <v>44167</v>
      </c>
      <c r="AN276" s="2" t="s">
        <v>122</v>
      </c>
      <c r="AO276" s="2" t="s">
        <v>109</v>
      </c>
      <c r="AP276" s="109" t="s">
        <v>109</v>
      </c>
      <c r="AQ276" s="2" t="b">
        <v>0</v>
      </c>
      <c r="AR276" s="2" t="s">
        <v>109</v>
      </c>
      <c r="AS276" s="2" t="s">
        <v>109</v>
      </c>
      <c r="AT276" s="2" t="s">
        <v>109</v>
      </c>
      <c r="AU276" s="2" t="b">
        <v>0</v>
      </c>
      <c r="AV276" s="2" t="s">
        <v>109</v>
      </c>
      <c r="AW276" s="2" t="s">
        <v>109</v>
      </c>
      <c r="AY276" s="2" t="s">
        <v>109</v>
      </c>
      <c r="AZ276" s="2" t="s">
        <v>109</v>
      </c>
      <c r="BA276" s="2" t="s">
        <v>109</v>
      </c>
      <c r="BB276" s="2" t="s">
        <v>109</v>
      </c>
      <c r="BC276" s="2" t="s">
        <v>135</v>
      </c>
      <c r="BD276" s="2" t="s">
        <v>109</v>
      </c>
      <c r="BE276" s="2" t="s">
        <v>109</v>
      </c>
      <c r="BF276" s="2" t="s">
        <v>109</v>
      </c>
      <c r="BG276" s="2" t="s">
        <v>126</v>
      </c>
      <c r="BH276" s="2" t="s">
        <v>109</v>
      </c>
      <c r="BI276" s="68">
        <v>44438</v>
      </c>
      <c r="BJ276" s="68">
        <v>44561</v>
      </c>
      <c r="BK276" s="68">
        <v>44548</v>
      </c>
      <c r="BL276" s="98" t="s">
        <v>109</v>
      </c>
      <c r="BM276" s="2" t="s">
        <v>109</v>
      </c>
      <c r="BN276" s="98" t="b">
        <v>0</v>
      </c>
      <c r="BO276" s="85" t="s">
        <v>118</v>
      </c>
      <c r="BP276" s="2" t="s">
        <v>128</v>
      </c>
      <c r="CF276" s="2" t="s">
        <v>1209</v>
      </c>
      <c r="CS276" s="142" t="s">
        <v>1739</v>
      </c>
      <c r="CU276" s="132" t="s">
        <v>3187</v>
      </c>
      <c r="CW276" s="2" t="s">
        <v>4018</v>
      </c>
      <c r="CX276" s="38"/>
    </row>
    <row r="277" spans="1:102" x14ac:dyDescent="0.3">
      <c r="A277" s="4">
        <v>311</v>
      </c>
      <c r="B277" s="44" t="s">
        <v>1887</v>
      </c>
      <c r="C277" s="53">
        <v>33.536999999999999</v>
      </c>
      <c r="D277" s="53">
        <v>-117.675</v>
      </c>
      <c r="E277" s="4" t="s">
        <v>1888</v>
      </c>
      <c r="F277" s="46" t="s">
        <v>1845</v>
      </c>
      <c r="G277" s="64" t="s">
        <v>688</v>
      </c>
      <c r="H277" s="4" t="s">
        <v>146</v>
      </c>
      <c r="I277" s="4" t="s">
        <v>109</v>
      </c>
      <c r="J277" s="4" t="s">
        <v>109</v>
      </c>
      <c r="K277" s="4" t="s">
        <v>1728</v>
      </c>
      <c r="L277" s="4" t="s">
        <v>251</v>
      </c>
      <c r="M277" s="4" t="s">
        <v>109</v>
      </c>
      <c r="N277" s="4" t="s">
        <v>109</v>
      </c>
      <c r="O277" s="69">
        <v>45351</v>
      </c>
      <c r="Q277" s="4" t="s">
        <v>109</v>
      </c>
      <c r="R277" s="4" t="s">
        <v>109</v>
      </c>
      <c r="S277" s="4" t="s">
        <v>109</v>
      </c>
      <c r="T277" s="4" t="s">
        <v>109</v>
      </c>
      <c r="U277" s="4" t="s">
        <v>116</v>
      </c>
      <c r="V277" s="4" t="s">
        <v>3971</v>
      </c>
      <c r="W277" s="4" t="b">
        <v>0</v>
      </c>
      <c r="X277" s="4" t="s">
        <v>109</v>
      </c>
      <c r="Y277" s="4" t="s">
        <v>902</v>
      </c>
      <c r="AA277" s="4" t="s">
        <v>118</v>
      </c>
      <c r="AB277" s="4" t="s">
        <v>118</v>
      </c>
      <c r="AC277" s="4" t="s">
        <v>304</v>
      </c>
      <c r="AD277" s="4" t="s">
        <v>109</v>
      </c>
      <c r="AE277" s="4">
        <v>1.1000000000000001</v>
      </c>
      <c r="AF277" s="4" t="s">
        <v>4019</v>
      </c>
      <c r="AG277" s="5" t="s">
        <v>3973</v>
      </c>
      <c r="AH277" s="5" t="s">
        <v>4020</v>
      </c>
      <c r="AI277" s="4">
        <v>1</v>
      </c>
      <c r="AJ277" s="4" t="s">
        <v>4015</v>
      </c>
      <c r="AK277" s="4" t="s">
        <v>121</v>
      </c>
      <c r="AL277" s="4" t="s">
        <v>3027</v>
      </c>
      <c r="AM277" s="69">
        <v>41892</v>
      </c>
      <c r="AN277" s="4" t="s">
        <v>122</v>
      </c>
      <c r="AO277" s="4" t="s">
        <v>109</v>
      </c>
      <c r="AP277" s="217" t="s">
        <v>109</v>
      </c>
      <c r="AQ277" s="4" t="b">
        <v>0</v>
      </c>
      <c r="AR277" s="4" t="s">
        <v>109</v>
      </c>
      <c r="AS277" s="4" t="s">
        <v>109</v>
      </c>
      <c r="AT277" s="4" t="s">
        <v>109</v>
      </c>
      <c r="AU277" s="4" t="b">
        <v>0</v>
      </c>
      <c r="AV277" s="4" t="s">
        <v>109</v>
      </c>
      <c r="AW277" s="4" t="s">
        <v>109</v>
      </c>
      <c r="AY277" s="4" t="s">
        <v>109</v>
      </c>
      <c r="AZ277" s="4" t="s">
        <v>109</v>
      </c>
      <c r="BA277" s="4" t="s">
        <v>109</v>
      </c>
      <c r="BB277" s="4" t="s">
        <v>109</v>
      </c>
      <c r="BC277" s="4" t="s">
        <v>135</v>
      </c>
      <c r="BD277" s="4" t="s">
        <v>109</v>
      </c>
      <c r="BE277" s="4" t="s">
        <v>109</v>
      </c>
      <c r="BF277" s="4" t="s">
        <v>109</v>
      </c>
      <c r="BG277" s="4" t="s">
        <v>126</v>
      </c>
      <c r="BH277" s="4" t="s">
        <v>109</v>
      </c>
      <c r="BI277" s="69">
        <v>44837</v>
      </c>
      <c r="BJ277" s="69">
        <v>42369</v>
      </c>
      <c r="BK277" s="69">
        <v>45088</v>
      </c>
      <c r="BL277" s="97" t="s">
        <v>699</v>
      </c>
      <c r="BM277" s="4" t="s">
        <v>109</v>
      </c>
      <c r="BN277" s="4" t="b">
        <v>1</v>
      </c>
      <c r="BO277" s="130" t="s">
        <v>118</v>
      </c>
      <c r="BP277" s="4" t="s">
        <v>128</v>
      </c>
      <c r="CF277" s="4" t="s">
        <v>174</v>
      </c>
      <c r="CS277" s="144"/>
      <c r="CU277" s="216" t="s">
        <v>3187</v>
      </c>
      <c r="CW277" s="4" t="s">
        <v>4008</v>
      </c>
      <c r="CX277" s="39"/>
    </row>
    <row r="278" spans="1:102" x14ac:dyDescent="0.3">
      <c r="A278" s="2">
        <v>312</v>
      </c>
      <c r="B278" s="43" t="s">
        <v>1892</v>
      </c>
      <c r="C278" s="51">
        <v>33.25</v>
      </c>
      <c r="D278" s="51">
        <v>-117.298</v>
      </c>
      <c r="E278" s="2" t="s">
        <v>483</v>
      </c>
      <c r="F278" s="47" t="s">
        <v>1845</v>
      </c>
      <c r="G278" s="67" t="s">
        <v>688</v>
      </c>
      <c r="H278" s="2" t="s">
        <v>146</v>
      </c>
      <c r="I278" s="2" t="s">
        <v>109</v>
      </c>
      <c r="J278" s="2" t="s">
        <v>109</v>
      </c>
      <c r="K278" s="2" t="s">
        <v>1728</v>
      </c>
      <c r="L278" s="2" t="s">
        <v>251</v>
      </c>
      <c r="M278" s="2" t="s">
        <v>109</v>
      </c>
      <c r="N278" s="2" t="s">
        <v>109</v>
      </c>
      <c r="O278" s="68">
        <v>45495.5</v>
      </c>
      <c r="Q278" s="2" t="s">
        <v>109</v>
      </c>
      <c r="R278" s="2" t="s">
        <v>109</v>
      </c>
      <c r="S278" s="2" t="s">
        <v>109</v>
      </c>
      <c r="T278" s="2" t="s">
        <v>109</v>
      </c>
      <c r="U278" s="2" t="s">
        <v>116</v>
      </c>
      <c r="V278" s="2" t="s">
        <v>3971</v>
      </c>
      <c r="W278" s="2" t="b">
        <v>0</v>
      </c>
      <c r="X278" s="2" t="s">
        <v>109</v>
      </c>
      <c r="Y278" s="2" t="s">
        <v>902</v>
      </c>
      <c r="AA278" s="2" t="s">
        <v>118</v>
      </c>
      <c r="AB278" s="2" t="s">
        <v>118</v>
      </c>
      <c r="AC278" s="2" t="s">
        <v>304</v>
      </c>
      <c r="AD278" s="2" t="s">
        <v>109</v>
      </c>
      <c r="AE278" s="2">
        <v>1.1000000000000001</v>
      </c>
      <c r="AF278" s="2" t="s">
        <v>4021</v>
      </c>
      <c r="AG278" s="3" t="s">
        <v>3973</v>
      </c>
      <c r="AH278" s="3" t="s">
        <v>4022</v>
      </c>
      <c r="AI278" s="2">
        <v>1</v>
      </c>
      <c r="AJ278" s="2" t="s">
        <v>4015</v>
      </c>
      <c r="AK278" s="2" t="s">
        <v>121</v>
      </c>
      <c r="AL278" s="2" t="s">
        <v>3027</v>
      </c>
      <c r="AM278" s="68">
        <v>43168</v>
      </c>
      <c r="AN278" s="2" t="s">
        <v>122</v>
      </c>
      <c r="AO278" s="2" t="s">
        <v>109</v>
      </c>
      <c r="AP278" s="109" t="s">
        <v>109</v>
      </c>
      <c r="AQ278" s="2" t="b">
        <v>0</v>
      </c>
      <c r="AR278" s="2" t="s">
        <v>109</v>
      </c>
      <c r="AS278" s="2" t="s">
        <v>109</v>
      </c>
      <c r="AT278" s="2" t="s">
        <v>109</v>
      </c>
      <c r="AU278" s="2" t="b">
        <v>0</v>
      </c>
      <c r="AV278" s="2" t="s">
        <v>109</v>
      </c>
      <c r="AW278" s="2" t="s">
        <v>109</v>
      </c>
      <c r="AY278" s="2" t="s">
        <v>109</v>
      </c>
      <c r="AZ278" s="2" t="s">
        <v>109</v>
      </c>
      <c r="BA278" s="2" t="s">
        <v>109</v>
      </c>
      <c r="BB278" s="2" t="s">
        <v>109</v>
      </c>
      <c r="BC278" s="2" t="s">
        <v>135</v>
      </c>
      <c r="BD278" s="2" t="s">
        <v>109</v>
      </c>
      <c r="BE278" s="2" t="s">
        <v>109</v>
      </c>
      <c r="BF278" s="2" t="s">
        <v>109</v>
      </c>
      <c r="BG278" s="2" t="s">
        <v>126</v>
      </c>
      <c r="BH278" s="2" t="s">
        <v>109</v>
      </c>
      <c r="BI278" s="68">
        <v>44531</v>
      </c>
      <c r="BJ278" s="68">
        <v>44196</v>
      </c>
      <c r="BK278" s="68">
        <v>45214</v>
      </c>
      <c r="BL278" s="98" t="s">
        <v>109</v>
      </c>
      <c r="BM278" s="2" t="s">
        <v>109</v>
      </c>
      <c r="BN278" s="2" t="b">
        <v>1</v>
      </c>
      <c r="BO278" s="85" t="s">
        <v>118</v>
      </c>
      <c r="BP278" s="2" t="s">
        <v>128</v>
      </c>
      <c r="CF278" s="2" t="s">
        <v>174</v>
      </c>
      <c r="CS278" s="145"/>
      <c r="CU278" s="132" t="s">
        <v>3187</v>
      </c>
      <c r="CW278" s="2" t="s">
        <v>3424</v>
      </c>
      <c r="CX278" s="38"/>
    </row>
    <row r="279" spans="1:102" x14ac:dyDescent="0.3">
      <c r="A279" s="4">
        <v>313</v>
      </c>
      <c r="B279" s="44" t="s">
        <v>1897</v>
      </c>
      <c r="C279" s="53">
        <v>33.284999999999997</v>
      </c>
      <c r="D279" s="53">
        <v>-117.408</v>
      </c>
      <c r="E279" s="4" t="s">
        <v>191</v>
      </c>
      <c r="F279" s="46" t="s">
        <v>1898</v>
      </c>
      <c r="G279" s="64" t="s">
        <v>688</v>
      </c>
      <c r="H279" s="4" t="s">
        <v>146</v>
      </c>
      <c r="I279" s="4" t="s">
        <v>109</v>
      </c>
      <c r="J279" s="4" t="s">
        <v>109</v>
      </c>
      <c r="K279" s="4" t="s">
        <v>1728</v>
      </c>
      <c r="L279" s="4" t="s">
        <v>251</v>
      </c>
      <c r="M279" s="4" t="s">
        <v>109</v>
      </c>
      <c r="N279" s="4" t="s">
        <v>109</v>
      </c>
      <c r="O279" s="69">
        <v>45325</v>
      </c>
      <c r="Q279" s="4" t="s">
        <v>109</v>
      </c>
      <c r="R279" s="4" t="s">
        <v>109</v>
      </c>
      <c r="S279" s="4" t="s">
        <v>109</v>
      </c>
      <c r="T279" s="4" t="s">
        <v>109</v>
      </c>
      <c r="U279" s="4" t="s">
        <v>404</v>
      </c>
      <c r="V279" s="4" t="s">
        <v>4014</v>
      </c>
      <c r="W279" s="4" t="b">
        <v>0</v>
      </c>
      <c r="X279" s="4" t="s">
        <v>109</v>
      </c>
      <c r="Y279" s="4" t="s">
        <v>902</v>
      </c>
      <c r="AA279" s="4" t="s">
        <v>118</v>
      </c>
      <c r="AB279" s="4" t="s">
        <v>118</v>
      </c>
      <c r="AC279" s="4" t="s">
        <v>304</v>
      </c>
      <c r="AD279" s="4" t="s">
        <v>109</v>
      </c>
      <c r="AE279" s="4">
        <v>1.1000000000000001</v>
      </c>
      <c r="AF279" s="4" t="s">
        <v>4023</v>
      </c>
      <c r="AG279" s="5" t="s">
        <v>3973</v>
      </c>
      <c r="AH279" s="5" t="s">
        <v>4024</v>
      </c>
      <c r="AI279" s="4">
        <v>1</v>
      </c>
      <c r="AJ279" s="4" t="s">
        <v>4015</v>
      </c>
      <c r="AK279" s="4" t="s">
        <v>121</v>
      </c>
      <c r="AL279" s="4" t="s">
        <v>3027</v>
      </c>
      <c r="AM279" s="69">
        <v>43633</v>
      </c>
      <c r="AN279" s="4" t="s">
        <v>122</v>
      </c>
      <c r="AO279" s="4" t="s">
        <v>109</v>
      </c>
      <c r="AP279" s="217" t="s">
        <v>109</v>
      </c>
      <c r="AQ279" s="4" t="b">
        <v>0</v>
      </c>
      <c r="AR279" s="4" t="s">
        <v>109</v>
      </c>
      <c r="AS279" s="4" t="s">
        <v>109</v>
      </c>
      <c r="AT279" s="4" t="s">
        <v>109</v>
      </c>
      <c r="AU279" s="4" t="b">
        <v>0</v>
      </c>
      <c r="AV279" s="4" t="s">
        <v>109</v>
      </c>
      <c r="AW279" s="4" t="s">
        <v>109</v>
      </c>
      <c r="AY279" s="4" t="s">
        <v>109</v>
      </c>
      <c r="AZ279" s="4" t="s">
        <v>109</v>
      </c>
      <c r="BA279" s="4" t="s">
        <v>109</v>
      </c>
      <c r="BB279" s="4" t="s">
        <v>109</v>
      </c>
      <c r="BC279" s="4" t="s">
        <v>135</v>
      </c>
      <c r="BD279" s="4" t="s">
        <v>109</v>
      </c>
      <c r="BE279" s="4" t="s">
        <v>109</v>
      </c>
      <c r="BF279" s="4" t="s">
        <v>109</v>
      </c>
      <c r="BG279" s="127" t="s">
        <v>1146</v>
      </c>
      <c r="BH279" s="4" t="s">
        <v>109</v>
      </c>
      <c r="BI279" s="69">
        <v>45427</v>
      </c>
      <c r="BJ279" s="69">
        <v>44196</v>
      </c>
      <c r="BK279" s="69">
        <v>45648</v>
      </c>
      <c r="BL279" s="97" t="s">
        <v>109</v>
      </c>
      <c r="BM279" s="4" t="s">
        <v>109</v>
      </c>
      <c r="BN279" s="4" t="b">
        <v>1</v>
      </c>
      <c r="BO279" s="130" t="s">
        <v>118</v>
      </c>
      <c r="BP279" s="4" t="s">
        <v>128</v>
      </c>
      <c r="CF279" s="4" t="s">
        <v>174</v>
      </c>
      <c r="CS279" s="144"/>
      <c r="CU279" s="216" t="s">
        <v>3187</v>
      </c>
      <c r="CW279" s="4" t="s">
        <v>4025</v>
      </c>
      <c r="CX279" s="39"/>
    </row>
    <row r="280" spans="1:102" x14ac:dyDescent="0.3">
      <c r="A280" s="2">
        <v>314</v>
      </c>
      <c r="B280" s="43" t="s">
        <v>1904</v>
      </c>
      <c r="C280" s="52" t="s">
        <v>109</v>
      </c>
      <c r="D280" s="2" t="s">
        <v>109</v>
      </c>
      <c r="E280" s="2" t="s">
        <v>109</v>
      </c>
      <c r="F280" s="47" t="s">
        <v>1845</v>
      </c>
      <c r="G280" s="67" t="s">
        <v>688</v>
      </c>
      <c r="H280" s="2" t="s">
        <v>146</v>
      </c>
      <c r="I280" s="2" t="s">
        <v>109</v>
      </c>
      <c r="J280" s="2" t="s">
        <v>109</v>
      </c>
      <c r="K280" s="2" t="s">
        <v>1728</v>
      </c>
      <c r="L280" s="2" t="s">
        <v>251</v>
      </c>
      <c r="M280" s="2" t="s">
        <v>109</v>
      </c>
      <c r="N280" s="2" t="s">
        <v>109</v>
      </c>
      <c r="O280" s="2" t="s">
        <v>109</v>
      </c>
      <c r="Q280" s="2" t="s">
        <v>109</v>
      </c>
      <c r="R280" s="2" t="s">
        <v>109</v>
      </c>
      <c r="S280" s="2" t="s">
        <v>109</v>
      </c>
      <c r="T280" s="2" t="s">
        <v>109</v>
      </c>
      <c r="U280" s="2" t="s">
        <v>116</v>
      </c>
      <c r="V280" s="2" t="s">
        <v>3971</v>
      </c>
      <c r="W280" s="2" t="b">
        <v>0</v>
      </c>
      <c r="X280" s="2" t="s">
        <v>109</v>
      </c>
      <c r="Y280" s="2" t="s">
        <v>902</v>
      </c>
      <c r="AA280" s="2" t="s">
        <v>109</v>
      </c>
      <c r="AB280" s="2" t="s">
        <v>109</v>
      </c>
      <c r="AC280" s="2" t="s">
        <v>304</v>
      </c>
      <c r="AD280" s="2" t="s">
        <v>109</v>
      </c>
      <c r="AE280" s="2">
        <v>1.1000000000000001</v>
      </c>
      <c r="AF280" s="2" t="s">
        <v>3030</v>
      </c>
      <c r="AG280" s="3" t="s">
        <v>3973</v>
      </c>
      <c r="AH280" s="3" t="s">
        <v>4026</v>
      </c>
      <c r="AI280" s="2">
        <v>1</v>
      </c>
      <c r="AJ280" s="2" t="s">
        <v>4015</v>
      </c>
      <c r="AK280" s="2" t="s">
        <v>121</v>
      </c>
      <c r="AL280" s="2" t="s">
        <v>3027</v>
      </c>
      <c r="AM280" s="68">
        <v>45292</v>
      </c>
      <c r="AN280" s="2" t="s">
        <v>122</v>
      </c>
      <c r="AO280" s="2" t="s">
        <v>109</v>
      </c>
      <c r="AP280" s="109" t="s">
        <v>109</v>
      </c>
      <c r="AQ280" s="2" t="b">
        <v>0</v>
      </c>
      <c r="AR280" s="2" t="s">
        <v>109</v>
      </c>
      <c r="AS280" s="2" t="s">
        <v>109</v>
      </c>
      <c r="AT280" s="2" t="s">
        <v>109</v>
      </c>
      <c r="AU280" s="2" t="b">
        <v>0</v>
      </c>
      <c r="AV280" s="2" t="s">
        <v>109</v>
      </c>
      <c r="AW280" s="2" t="s">
        <v>109</v>
      </c>
      <c r="AY280" s="2" t="s">
        <v>109</v>
      </c>
      <c r="AZ280" s="2" t="s">
        <v>109</v>
      </c>
      <c r="BA280" s="2" t="s">
        <v>109</v>
      </c>
      <c r="BB280" s="2" t="s">
        <v>109</v>
      </c>
      <c r="BC280" s="2" t="s">
        <v>135</v>
      </c>
      <c r="BD280" s="76" t="s">
        <v>109</v>
      </c>
      <c r="BE280" s="7" t="s">
        <v>109</v>
      </c>
      <c r="BF280" s="7" t="s">
        <v>109</v>
      </c>
      <c r="BG280" s="2" t="s">
        <v>126</v>
      </c>
      <c r="BH280" s="2" t="s">
        <v>109</v>
      </c>
      <c r="BI280" s="68" t="s">
        <v>1906</v>
      </c>
      <c r="BJ280" s="68">
        <v>45657</v>
      </c>
      <c r="BK280" s="68" t="s">
        <v>1906</v>
      </c>
      <c r="BL280" s="98" t="s">
        <v>109</v>
      </c>
      <c r="BM280" s="2" t="s">
        <v>109</v>
      </c>
      <c r="BN280" s="2" t="b">
        <v>1</v>
      </c>
      <c r="BO280" s="85" t="s">
        <v>118</v>
      </c>
      <c r="BP280" s="2" t="s">
        <v>128</v>
      </c>
      <c r="CF280" s="2" t="s">
        <v>528</v>
      </c>
      <c r="CS280" s="145"/>
      <c r="CU280" s="132" t="s">
        <v>3187</v>
      </c>
      <c r="CW280" s="2" t="s">
        <v>3029</v>
      </c>
      <c r="CX280" s="38"/>
    </row>
    <row r="281" spans="1:102" x14ac:dyDescent="0.3">
      <c r="A281" s="4">
        <v>315</v>
      </c>
      <c r="B281" s="44" t="s">
        <v>1908</v>
      </c>
      <c r="C281" s="53">
        <v>32.932000000000002</v>
      </c>
      <c r="D281" s="53">
        <v>-117.22199999999999</v>
      </c>
      <c r="E281" s="4" t="s">
        <v>329</v>
      </c>
      <c r="F281" s="46" t="s">
        <v>1909</v>
      </c>
      <c r="G281" s="4" t="s">
        <v>688</v>
      </c>
      <c r="H281" s="4" t="s">
        <v>146</v>
      </c>
      <c r="I281" s="4" t="s">
        <v>109</v>
      </c>
      <c r="J281" s="4">
        <v>20133</v>
      </c>
      <c r="K281" s="4" t="s">
        <v>662</v>
      </c>
      <c r="L281" s="4" t="s">
        <v>663</v>
      </c>
      <c r="M281" s="4" t="s">
        <v>109</v>
      </c>
      <c r="N281" s="4" t="s">
        <v>109</v>
      </c>
      <c r="O281" s="69">
        <v>45314</v>
      </c>
      <c r="Q281" s="4">
        <v>49</v>
      </c>
      <c r="R281" s="4" t="s">
        <v>109</v>
      </c>
      <c r="S281" s="4" t="s">
        <v>109</v>
      </c>
      <c r="T281" s="4" t="s">
        <v>109</v>
      </c>
      <c r="U281" s="4" t="s">
        <v>1910</v>
      </c>
      <c r="V281" s="4" t="s">
        <v>4027</v>
      </c>
      <c r="W281" s="4" t="b">
        <v>0</v>
      </c>
      <c r="X281" s="4" t="s">
        <v>109</v>
      </c>
      <c r="Y281" s="4" t="s">
        <v>1907</v>
      </c>
      <c r="AA281" s="53">
        <v>1.35</v>
      </c>
      <c r="AB281" s="4" t="s">
        <v>118</v>
      </c>
      <c r="AC281" s="4">
        <v>69</v>
      </c>
      <c r="AD281" s="4" t="s">
        <v>109</v>
      </c>
      <c r="AE281" s="4">
        <v>1.2</v>
      </c>
      <c r="AF281" s="4" t="s">
        <v>4028</v>
      </c>
      <c r="AG281" s="5" t="s">
        <v>4029</v>
      </c>
      <c r="AH281" s="5" t="s">
        <v>3071</v>
      </c>
      <c r="AI281" s="4">
        <v>1</v>
      </c>
      <c r="AJ281" s="4" t="s">
        <v>4030</v>
      </c>
      <c r="AK281" s="4" t="s">
        <v>121</v>
      </c>
      <c r="AL281" s="4" t="s">
        <v>3027</v>
      </c>
      <c r="AM281" s="69" t="s">
        <v>4031</v>
      </c>
      <c r="AN281" s="4" t="s">
        <v>122</v>
      </c>
      <c r="AO281" s="4">
        <v>2020</v>
      </c>
      <c r="AP281" s="217" t="s">
        <v>109</v>
      </c>
      <c r="AQ281" s="4" t="b">
        <v>0</v>
      </c>
      <c r="AR281" s="4" t="s">
        <v>109</v>
      </c>
      <c r="AS281" s="4" t="s">
        <v>109</v>
      </c>
      <c r="AT281" s="4" t="s">
        <v>118</v>
      </c>
      <c r="AU281" s="4" t="b">
        <v>0</v>
      </c>
      <c r="AV281" s="4" t="s">
        <v>109</v>
      </c>
      <c r="AW281" s="4" t="s">
        <v>118</v>
      </c>
      <c r="AY281" s="4" t="s">
        <v>124</v>
      </c>
      <c r="AZ281" s="4" t="s">
        <v>109</v>
      </c>
      <c r="BA281" s="4" t="s">
        <v>118</v>
      </c>
      <c r="BB281" s="4" t="s">
        <v>118</v>
      </c>
      <c r="BC281" s="4" t="s">
        <v>123</v>
      </c>
      <c r="BD281" s="4">
        <v>44970</v>
      </c>
      <c r="BE281" s="4" t="s">
        <v>494</v>
      </c>
      <c r="BF281" s="4">
        <v>2023</v>
      </c>
      <c r="BG281" s="4" t="s">
        <v>126</v>
      </c>
      <c r="BH281" s="4" t="s">
        <v>109</v>
      </c>
      <c r="BI281" s="69">
        <v>46311</v>
      </c>
      <c r="BJ281" s="69">
        <v>45657</v>
      </c>
      <c r="BK281" s="69">
        <v>46393</v>
      </c>
      <c r="BL281" s="97" t="s">
        <v>109</v>
      </c>
      <c r="BM281" s="4" t="s">
        <v>109</v>
      </c>
      <c r="BN281" s="6" t="b">
        <v>1</v>
      </c>
      <c r="BO281" s="130">
        <v>1979.963</v>
      </c>
      <c r="BP281" s="4" t="s">
        <v>128</v>
      </c>
      <c r="CF281" s="4">
        <v>2025</v>
      </c>
      <c r="CS281" s="143"/>
      <c r="CU281" s="216" t="s">
        <v>3187</v>
      </c>
      <c r="CW281" s="4" t="s">
        <v>4032</v>
      </c>
      <c r="CX281" s="39"/>
    </row>
    <row r="282" spans="1:102" ht="92.4" x14ac:dyDescent="0.3">
      <c r="A282" s="2">
        <v>316</v>
      </c>
      <c r="B282" s="43" t="s">
        <v>1917</v>
      </c>
      <c r="C282" s="55">
        <v>32.710503000000003</v>
      </c>
      <c r="D282" s="51">
        <v>-116.941999</v>
      </c>
      <c r="E282" s="2" t="s">
        <v>1918</v>
      </c>
      <c r="F282" s="47" t="s">
        <v>1919</v>
      </c>
      <c r="G282" s="67" t="s">
        <v>240</v>
      </c>
      <c r="H282" s="67" t="s">
        <v>146</v>
      </c>
      <c r="I282" s="67" t="s">
        <v>109</v>
      </c>
      <c r="J282" s="67" t="s">
        <v>109</v>
      </c>
      <c r="K282" s="67" t="s">
        <v>114</v>
      </c>
      <c r="L282" s="67" t="s">
        <v>303</v>
      </c>
      <c r="M282" s="67" t="s">
        <v>109</v>
      </c>
      <c r="N282" s="67" t="s">
        <v>109</v>
      </c>
      <c r="O282" s="74">
        <v>45351</v>
      </c>
      <c r="Q282" s="7">
        <v>46</v>
      </c>
      <c r="R282" s="67" t="s">
        <v>109</v>
      </c>
      <c r="S282" s="67" t="s">
        <v>109</v>
      </c>
      <c r="T282" s="67" t="s">
        <v>109</v>
      </c>
      <c r="U282" s="2" t="s">
        <v>404</v>
      </c>
      <c r="V282" s="2" t="s">
        <v>4027</v>
      </c>
      <c r="W282" s="2" t="b">
        <v>0</v>
      </c>
      <c r="X282" s="2" t="s">
        <v>109</v>
      </c>
      <c r="Y282" s="2" t="s">
        <v>808</v>
      </c>
      <c r="AA282" s="51">
        <v>2.1</v>
      </c>
      <c r="AB282" s="2" t="s">
        <v>118</v>
      </c>
      <c r="AC282" s="2">
        <v>69</v>
      </c>
      <c r="AD282" s="90" t="s">
        <v>109</v>
      </c>
      <c r="AE282" s="2">
        <v>1.2</v>
      </c>
      <c r="AF282" s="2" t="s">
        <v>4033</v>
      </c>
      <c r="AG282" s="3" t="s">
        <v>4034</v>
      </c>
      <c r="AH282" s="3" t="s">
        <v>4035</v>
      </c>
      <c r="AI282" s="2">
        <v>1</v>
      </c>
      <c r="AJ282" s="2" t="s">
        <v>4036</v>
      </c>
      <c r="AK282" s="2" t="s">
        <v>121</v>
      </c>
      <c r="AL282" s="2" t="s">
        <v>3027</v>
      </c>
      <c r="AM282" s="68" t="s">
        <v>4037</v>
      </c>
      <c r="AN282" s="2" t="s">
        <v>122</v>
      </c>
      <c r="AO282" s="2">
        <v>2020</v>
      </c>
      <c r="AP282" s="109" t="s">
        <v>109</v>
      </c>
      <c r="AQ282" s="2" t="b">
        <v>0</v>
      </c>
      <c r="AR282" s="2" t="s">
        <v>109</v>
      </c>
      <c r="AS282" s="2" t="s">
        <v>109</v>
      </c>
      <c r="AT282" s="2" t="s">
        <v>118</v>
      </c>
      <c r="AU282" s="2" t="b">
        <v>0</v>
      </c>
      <c r="AV282" s="2" t="s">
        <v>109</v>
      </c>
      <c r="AW282" s="2" t="s">
        <v>118</v>
      </c>
      <c r="AY282" s="2" t="s">
        <v>124</v>
      </c>
      <c r="AZ282" s="2" t="s">
        <v>109</v>
      </c>
      <c r="BA282" s="2" t="s">
        <v>118</v>
      </c>
      <c r="BB282" s="2" t="s">
        <v>118</v>
      </c>
      <c r="BC282" s="2" t="s">
        <v>135</v>
      </c>
      <c r="BD282" s="2" t="s">
        <v>109</v>
      </c>
      <c r="BE282" s="2" t="s">
        <v>494</v>
      </c>
      <c r="BF282" s="2">
        <v>2023</v>
      </c>
      <c r="BG282" s="2" t="s">
        <v>425</v>
      </c>
      <c r="BH282" s="2" t="s">
        <v>109</v>
      </c>
      <c r="BI282" s="110">
        <v>46022</v>
      </c>
      <c r="BJ282" s="68">
        <v>46507</v>
      </c>
      <c r="BK282" s="68">
        <v>46568</v>
      </c>
      <c r="BL282" s="98" t="s">
        <v>246</v>
      </c>
      <c r="BM282" s="2" t="s">
        <v>109</v>
      </c>
      <c r="BN282" s="7" t="b">
        <v>1</v>
      </c>
      <c r="BO282" s="85">
        <v>1979.963</v>
      </c>
      <c r="BP282" s="2" t="s">
        <v>128</v>
      </c>
      <c r="CF282" s="2">
        <v>2025</v>
      </c>
      <c r="CS282" s="142" t="s">
        <v>4038</v>
      </c>
      <c r="CU282" s="132" t="s">
        <v>3187</v>
      </c>
      <c r="CW282" s="2" t="s">
        <v>4039</v>
      </c>
      <c r="CX282" s="38"/>
    </row>
    <row r="283" spans="1:102" ht="52.8" x14ac:dyDescent="0.3">
      <c r="A283" s="4">
        <v>318</v>
      </c>
      <c r="B283" s="44" t="s">
        <v>1926</v>
      </c>
      <c r="C283" s="53">
        <v>32.567793000000002</v>
      </c>
      <c r="D283" s="53">
        <v>-116.94480900000001</v>
      </c>
      <c r="E283" s="4" t="s">
        <v>674</v>
      </c>
      <c r="F283" s="46" t="s">
        <v>1927</v>
      </c>
      <c r="G283" s="4" t="s">
        <v>688</v>
      </c>
      <c r="H283" s="4" t="s">
        <v>113</v>
      </c>
      <c r="I283" s="4" t="s">
        <v>109</v>
      </c>
      <c r="J283" s="4" t="s">
        <v>109</v>
      </c>
      <c r="K283" s="4" t="s">
        <v>662</v>
      </c>
      <c r="L283" s="4" t="s">
        <v>663</v>
      </c>
      <c r="M283" s="4" t="s">
        <v>109</v>
      </c>
      <c r="N283" s="4" t="s">
        <v>109</v>
      </c>
      <c r="O283" s="69">
        <v>45307.5</v>
      </c>
      <c r="Q283" s="4">
        <v>39</v>
      </c>
      <c r="R283" s="4" t="s">
        <v>109</v>
      </c>
      <c r="S283" s="4" t="s">
        <v>109</v>
      </c>
      <c r="T283" s="4" t="s">
        <v>109</v>
      </c>
      <c r="U283" s="4" t="s">
        <v>404</v>
      </c>
      <c r="V283" s="4" t="s">
        <v>4027</v>
      </c>
      <c r="W283" s="4" t="b">
        <v>0</v>
      </c>
      <c r="X283" s="4" t="s">
        <v>109</v>
      </c>
      <c r="Y283" s="4" t="s">
        <v>499</v>
      </c>
      <c r="AA283" s="53">
        <v>1.6826369999999999</v>
      </c>
      <c r="AB283" s="4" t="s">
        <v>118</v>
      </c>
      <c r="AC283" s="4">
        <v>69</v>
      </c>
      <c r="AD283" s="4" t="s">
        <v>109</v>
      </c>
      <c r="AE283" s="4">
        <v>1.2</v>
      </c>
      <c r="AF283" s="4" t="s">
        <v>4040</v>
      </c>
      <c r="AG283" s="5" t="s">
        <v>4041</v>
      </c>
      <c r="AH283" s="5" t="s">
        <v>4042</v>
      </c>
      <c r="AI283" s="4">
        <v>1</v>
      </c>
      <c r="AJ283" s="4" t="s">
        <v>4043</v>
      </c>
      <c r="AK283" s="4" t="s">
        <v>121</v>
      </c>
      <c r="AL283" s="4" t="s">
        <v>3027</v>
      </c>
      <c r="AM283" s="69" t="s">
        <v>4044</v>
      </c>
      <c r="AN283" s="4" t="s">
        <v>122</v>
      </c>
      <c r="AO283" s="4">
        <v>2020</v>
      </c>
      <c r="AP283" s="217" t="s">
        <v>109</v>
      </c>
      <c r="AQ283" s="4" t="b">
        <v>0</v>
      </c>
      <c r="AR283" s="4" t="s">
        <v>109</v>
      </c>
      <c r="AS283" s="4" t="s">
        <v>109</v>
      </c>
      <c r="AT283" s="4" t="s">
        <v>109</v>
      </c>
      <c r="AU283" s="4" t="b">
        <v>0</v>
      </c>
      <c r="AV283" s="4" t="s">
        <v>490</v>
      </c>
      <c r="AW283" s="69">
        <v>43378</v>
      </c>
      <c r="AY283" s="4" t="s">
        <v>491</v>
      </c>
      <c r="AZ283" s="4" t="s">
        <v>109</v>
      </c>
      <c r="BA283" s="4" t="s">
        <v>226</v>
      </c>
      <c r="BB283" s="4" t="s">
        <v>118</v>
      </c>
      <c r="BC283" s="4" t="s">
        <v>135</v>
      </c>
      <c r="BD283" s="4" t="s">
        <v>109</v>
      </c>
      <c r="BE283" s="4" t="s">
        <v>109</v>
      </c>
      <c r="BF283" s="4" t="s">
        <v>109</v>
      </c>
      <c r="BG283" s="4" t="s">
        <v>546</v>
      </c>
      <c r="BH283" s="4" t="s">
        <v>109</v>
      </c>
      <c r="BI283" s="69">
        <v>45467</v>
      </c>
      <c r="BJ283" s="69">
        <v>45657</v>
      </c>
      <c r="BK283" s="69">
        <v>45642</v>
      </c>
      <c r="BL283" s="97" t="s">
        <v>109</v>
      </c>
      <c r="BM283" s="4" t="s">
        <v>109</v>
      </c>
      <c r="BN283" s="6" t="b">
        <v>1</v>
      </c>
      <c r="BO283" s="130">
        <v>1486.2090000000001</v>
      </c>
      <c r="BP283" s="4" t="s">
        <v>128</v>
      </c>
      <c r="CF283" s="4">
        <v>2025</v>
      </c>
      <c r="CS283" s="143" t="s">
        <v>4045</v>
      </c>
      <c r="CU283" s="216" t="s">
        <v>3187</v>
      </c>
      <c r="CW283" s="4" t="s">
        <v>3288</v>
      </c>
      <c r="CX283" s="39"/>
    </row>
    <row r="284" spans="1:102" ht="39.6" x14ac:dyDescent="0.3">
      <c r="A284" s="2">
        <v>320</v>
      </c>
      <c r="B284" s="43" t="s">
        <v>1934</v>
      </c>
      <c r="C284" s="51">
        <v>33.004823999999999</v>
      </c>
      <c r="D284" s="51">
        <v>-117.169228</v>
      </c>
      <c r="E284" s="2" t="s">
        <v>1935</v>
      </c>
      <c r="F284" s="47" t="s">
        <v>1936</v>
      </c>
      <c r="G284" s="2" t="s">
        <v>688</v>
      </c>
      <c r="H284" s="2" t="s">
        <v>146</v>
      </c>
      <c r="I284" s="2" t="s">
        <v>275</v>
      </c>
      <c r="J284" s="2" t="s">
        <v>109</v>
      </c>
      <c r="K284" s="2" t="s">
        <v>662</v>
      </c>
      <c r="L284" s="2" t="s">
        <v>663</v>
      </c>
      <c r="M284" s="2" t="s">
        <v>109</v>
      </c>
      <c r="N284" s="2" t="s">
        <v>109</v>
      </c>
      <c r="O284" s="68">
        <v>45358.5</v>
      </c>
      <c r="Q284" s="2">
        <v>39</v>
      </c>
      <c r="R284" s="2" t="s">
        <v>109</v>
      </c>
      <c r="S284" s="2" t="s">
        <v>109</v>
      </c>
      <c r="T284" s="2" t="s">
        <v>109</v>
      </c>
      <c r="U284" s="2" t="s">
        <v>404</v>
      </c>
      <c r="V284" s="2" t="s">
        <v>4027</v>
      </c>
      <c r="W284" s="2" t="b">
        <v>0</v>
      </c>
      <c r="X284" s="2" t="s">
        <v>1937</v>
      </c>
      <c r="Y284" s="2" t="s">
        <v>685</v>
      </c>
      <c r="AA284" s="51">
        <v>16.374898999999999</v>
      </c>
      <c r="AB284" s="2" t="s">
        <v>118</v>
      </c>
      <c r="AC284" s="2">
        <v>138</v>
      </c>
      <c r="AD284" s="2" t="s">
        <v>109</v>
      </c>
      <c r="AE284" s="2">
        <v>1.2</v>
      </c>
      <c r="AF284" s="2" t="s">
        <v>4046</v>
      </c>
      <c r="AG284" s="3" t="s">
        <v>4047</v>
      </c>
      <c r="AH284" s="3" t="s">
        <v>4048</v>
      </c>
      <c r="AI284" s="2">
        <v>1</v>
      </c>
      <c r="AJ284" s="2" t="s">
        <v>4049</v>
      </c>
      <c r="AK284" s="2" t="s">
        <v>121</v>
      </c>
      <c r="AL284" s="2" t="s">
        <v>3027</v>
      </c>
      <c r="AM284" s="68" t="s">
        <v>4050</v>
      </c>
      <c r="AN284" s="2" t="s">
        <v>122</v>
      </c>
      <c r="AO284" s="2">
        <v>2020</v>
      </c>
      <c r="AP284" s="109" t="s">
        <v>109</v>
      </c>
      <c r="AQ284" s="2" t="b">
        <v>0</v>
      </c>
      <c r="AR284" s="2" t="s">
        <v>109</v>
      </c>
      <c r="AS284" s="2" t="s">
        <v>109</v>
      </c>
      <c r="AT284" s="2" t="s">
        <v>118</v>
      </c>
      <c r="AU284" s="2" t="b">
        <v>0</v>
      </c>
      <c r="AV284" s="2" t="s">
        <v>109</v>
      </c>
      <c r="AW284" s="2" t="s">
        <v>118</v>
      </c>
      <c r="AY284" s="2" t="s">
        <v>124</v>
      </c>
      <c r="AZ284" s="2" t="s">
        <v>109</v>
      </c>
      <c r="BA284" s="2" t="s">
        <v>118</v>
      </c>
      <c r="BB284" s="2" t="s">
        <v>118</v>
      </c>
      <c r="BC284" s="2" t="s">
        <v>135</v>
      </c>
      <c r="BD284" s="2" t="s">
        <v>109</v>
      </c>
      <c r="BE284" s="2" t="s">
        <v>109</v>
      </c>
      <c r="BF284" s="2" t="s">
        <v>109</v>
      </c>
      <c r="BG284" s="2" t="s">
        <v>126</v>
      </c>
      <c r="BH284" s="2" t="s">
        <v>109</v>
      </c>
      <c r="BI284" s="68">
        <v>45545</v>
      </c>
      <c r="BJ284" s="68">
        <v>45700</v>
      </c>
      <c r="BK284" s="68">
        <v>45645</v>
      </c>
      <c r="BL284" s="98" t="s">
        <v>246</v>
      </c>
      <c r="BM284" s="2" t="s">
        <v>109</v>
      </c>
      <c r="BN284" s="7" t="b">
        <v>1</v>
      </c>
      <c r="BO284" s="85">
        <v>3628.6550000000002</v>
      </c>
      <c r="BP284" s="2" t="s">
        <v>128</v>
      </c>
      <c r="CF284" s="2">
        <v>2025</v>
      </c>
      <c r="CS284" s="151" t="s">
        <v>337</v>
      </c>
      <c r="CU284" s="132" t="s">
        <v>3187</v>
      </c>
      <c r="CW284" s="2" t="s">
        <v>4051</v>
      </c>
      <c r="CX284" s="38"/>
    </row>
    <row r="285" spans="1:102" x14ac:dyDescent="0.3">
      <c r="A285" s="4">
        <v>321</v>
      </c>
      <c r="B285" s="44" t="s">
        <v>1944</v>
      </c>
      <c r="C285" s="56">
        <v>33.032608000000003</v>
      </c>
      <c r="D285" s="53">
        <v>-117.16930600000001</v>
      </c>
      <c r="E285" s="4" t="s">
        <v>1945</v>
      </c>
      <c r="F285" s="46" t="s">
        <v>1946</v>
      </c>
      <c r="G285" s="64" t="s">
        <v>1947</v>
      </c>
      <c r="H285" s="64" t="s">
        <v>113</v>
      </c>
      <c r="I285" s="64" t="s">
        <v>109</v>
      </c>
      <c r="J285" s="64" t="s">
        <v>109</v>
      </c>
      <c r="K285" s="64" t="s">
        <v>114</v>
      </c>
      <c r="L285" s="64" t="s">
        <v>1948</v>
      </c>
      <c r="M285" s="64" t="s">
        <v>109</v>
      </c>
      <c r="N285" s="64" t="s">
        <v>109</v>
      </c>
      <c r="O285" s="66">
        <v>45307.5</v>
      </c>
      <c r="Q285" s="6">
        <v>39</v>
      </c>
      <c r="R285" s="64" t="s">
        <v>109</v>
      </c>
      <c r="S285" s="64" t="s">
        <v>109</v>
      </c>
      <c r="T285" s="64" t="s">
        <v>109</v>
      </c>
      <c r="U285" s="4" t="s">
        <v>404</v>
      </c>
      <c r="V285" s="4" t="s">
        <v>3022</v>
      </c>
      <c r="W285" s="4" t="b">
        <v>0</v>
      </c>
      <c r="X285" s="4" t="s">
        <v>109</v>
      </c>
      <c r="Y285" s="4" t="s">
        <v>1907</v>
      </c>
      <c r="AA285" s="53">
        <v>34.828406000000001</v>
      </c>
      <c r="AB285" s="4" t="s">
        <v>118</v>
      </c>
      <c r="AC285" s="4">
        <v>230</v>
      </c>
      <c r="AD285" s="91" t="s">
        <v>109</v>
      </c>
      <c r="AE285" s="4">
        <v>4.0999999999999996</v>
      </c>
      <c r="AF285" s="4" t="s">
        <v>4052</v>
      </c>
      <c r="AG285" s="5" t="s">
        <v>4053</v>
      </c>
      <c r="AH285" s="5" t="s">
        <v>4054</v>
      </c>
      <c r="AI285" s="4">
        <v>1</v>
      </c>
      <c r="AJ285" s="4" t="s">
        <v>4055</v>
      </c>
      <c r="AK285" s="4" t="s">
        <v>121</v>
      </c>
      <c r="AL285" s="4" t="s">
        <v>3027</v>
      </c>
      <c r="AM285" s="69" t="s">
        <v>3417</v>
      </c>
      <c r="AN285" s="4" t="s">
        <v>122</v>
      </c>
      <c r="AO285" s="4">
        <v>2020</v>
      </c>
      <c r="AP285" s="217" t="s">
        <v>109</v>
      </c>
      <c r="AQ285" s="4" t="b">
        <v>0</v>
      </c>
      <c r="AR285" s="4" t="s">
        <v>109</v>
      </c>
      <c r="AS285" s="4" t="s">
        <v>109</v>
      </c>
      <c r="AT285" s="4" t="s">
        <v>118</v>
      </c>
      <c r="AU285" s="4" t="b">
        <v>0</v>
      </c>
      <c r="AV285" s="4" t="s">
        <v>109</v>
      </c>
      <c r="AW285" s="4" t="s">
        <v>118</v>
      </c>
      <c r="AY285" s="4" t="s">
        <v>124</v>
      </c>
      <c r="AZ285" s="4" t="s">
        <v>109</v>
      </c>
      <c r="BA285" s="4" t="s">
        <v>109</v>
      </c>
      <c r="BB285" s="4" t="s">
        <v>109</v>
      </c>
      <c r="BC285" s="4" t="s">
        <v>135</v>
      </c>
      <c r="BD285" s="4" t="s">
        <v>109</v>
      </c>
      <c r="BE285" s="4" t="s">
        <v>109</v>
      </c>
      <c r="BF285" s="4" t="s">
        <v>109</v>
      </c>
      <c r="BG285" s="4" t="s">
        <v>126</v>
      </c>
      <c r="BH285" s="4" t="s">
        <v>109</v>
      </c>
      <c r="BI285" s="69">
        <v>44621</v>
      </c>
      <c r="BJ285" s="69">
        <v>44771</v>
      </c>
      <c r="BK285" s="69">
        <v>44845</v>
      </c>
      <c r="BL285" s="97" t="s">
        <v>109</v>
      </c>
      <c r="BM285" s="4" t="s">
        <v>109</v>
      </c>
      <c r="BN285" s="4" t="b">
        <v>1</v>
      </c>
      <c r="BO285" s="130">
        <v>8040.0590000000002</v>
      </c>
      <c r="BP285" s="4" t="s">
        <v>128</v>
      </c>
      <c r="CF285" s="6" t="s">
        <v>270</v>
      </c>
      <c r="CS285" s="144"/>
      <c r="CU285" s="216" t="s">
        <v>3187</v>
      </c>
      <c r="CW285" s="4" t="s">
        <v>3683</v>
      </c>
      <c r="CX285" s="39"/>
    </row>
    <row r="286" spans="1:102" x14ac:dyDescent="0.3">
      <c r="A286" s="2">
        <v>323</v>
      </c>
      <c r="B286" s="43" t="s">
        <v>1954</v>
      </c>
      <c r="C286" s="55">
        <v>32.932271999999998</v>
      </c>
      <c r="D286" s="51">
        <v>-117.22173100000001</v>
      </c>
      <c r="E286" s="2" t="s">
        <v>329</v>
      </c>
      <c r="F286" s="47" t="s">
        <v>4056</v>
      </c>
      <c r="G286" s="67" t="s">
        <v>688</v>
      </c>
      <c r="H286" s="67" t="s">
        <v>146</v>
      </c>
      <c r="I286" s="67" t="s">
        <v>109</v>
      </c>
      <c r="J286" s="67">
        <v>20139</v>
      </c>
      <c r="K286" s="67" t="s">
        <v>662</v>
      </c>
      <c r="L286" s="67" t="s">
        <v>663</v>
      </c>
      <c r="M286" s="67" t="s">
        <v>109</v>
      </c>
      <c r="N286" s="67" t="s">
        <v>109</v>
      </c>
      <c r="O286" s="74">
        <v>45533.5</v>
      </c>
      <c r="Q286" s="7">
        <v>39</v>
      </c>
      <c r="R286" s="67" t="s">
        <v>109</v>
      </c>
      <c r="S286" s="67" t="s">
        <v>109</v>
      </c>
      <c r="T286" s="67" t="s">
        <v>109</v>
      </c>
      <c r="U286" s="2" t="s">
        <v>404</v>
      </c>
      <c r="V286" s="2" t="s">
        <v>4027</v>
      </c>
      <c r="W286" s="2" t="b">
        <v>0</v>
      </c>
      <c r="X286" s="2" t="s">
        <v>487</v>
      </c>
      <c r="Y286" s="2" t="s">
        <v>1907</v>
      </c>
      <c r="AA286" s="51">
        <v>1.3391040000000001</v>
      </c>
      <c r="AB286" s="2" t="s">
        <v>118</v>
      </c>
      <c r="AC286" s="2">
        <v>69</v>
      </c>
      <c r="AD286" s="90" t="s">
        <v>109</v>
      </c>
      <c r="AE286" s="2">
        <v>1.2</v>
      </c>
      <c r="AF286" s="2" t="s">
        <v>4057</v>
      </c>
      <c r="AG286" s="3" t="s">
        <v>4058</v>
      </c>
      <c r="AH286" s="3" t="s">
        <v>3071</v>
      </c>
      <c r="AI286" s="2">
        <v>1</v>
      </c>
      <c r="AJ286" s="2" t="s">
        <v>4059</v>
      </c>
      <c r="AK286" s="2" t="s">
        <v>121</v>
      </c>
      <c r="AL286" s="2" t="s">
        <v>3027</v>
      </c>
      <c r="AM286" s="68" t="s">
        <v>4031</v>
      </c>
      <c r="AN286" s="2" t="s">
        <v>122</v>
      </c>
      <c r="AO286" s="2">
        <v>2020</v>
      </c>
      <c r="AP286" s="109" t="s">
        <v>109</v>
      </c>
      <c r="AQ286" s="2" t="b">
        <v>0</v>
      </c>
      <c r="AR286" s="2" t="s">
        <v>109</v>
      </c>
      <c r="AS286" s="2" t="s">
        <v>109</v>
      </c>
      <c r="AT286" s="2" t="s">
        <v>118</v>
      </c>
      <c r="AU286" s="2" t="b">
        <v>0</v>
      </c>
      <c r="AV286" s="2" t="s">
        <v>109</v>
      </c>
      <c r="AW286" s="2" t="s">
        <v>109</v>
      </c>
      <c r="AY286" s="2" t="s">
        <v>124</v>
      </c>
      <c r="AZ286" s="2" t="s">
        <v>109</v>
      </c>
      <c r="BA286" s="2" t="s">
        <v>109</v>
      </c>
      <c r="BB286" s="2" t="s">
        <v>109</v>
      </c>
      <c r="BC286" s="2" t="s">
        <v>135</v>
      </c>
      <c r="BD286" s="2" t="s">
        <v>109</v>
      </c>
      <c r="BE286" s="2" t="s">
        <v>494</v>
      </c>
      <c r="BF286" s="2" t="s">
        <v>109</v>
      </c>
      <c r="BG286" s="2" t="s">
        <v>126</v>
      </c>
      <c r="BH286" s="2" t="s">
        <v>109</v>
      </c>
      <c r="BI286" s="68">
        <v>45966</v>
      </c>
      <c r="BJ286" s="68">
        <v>44926</v>
      </c>
      <c r="BK286" s="68">
        <v>46173</v>
      </c>
      <c r="BL286" s="98" t="s">
        <v>109</v>
      </c>
      <c r="BM286" s="2" t="s">
        <v>109</v>
      </c>
      <c r="BN286" s="7" t="b">
        <v>1</v>
      </c>
      <c r="BO286" s="85">
        <v>1810.588</v>
      </c>
      <c r="BP286" s="2" t="s">
        <v>128</v>
      </c>
      <c r="CF286" s="2">
        <v>2025</v>
      </c>
      <c r="CS286" s="145"/>
      <c r="CU286" s="132" t="s">
        <v>3187</v>
      </c>
      <c r="CW286" s="2" t="s">
        <v>4060</v>
      </c>
      <c r="CX286" s="38"/>
    </row>
    <row r="287" spans="1:102" x14ac:dyDescent="0.3">
      <c r="A287" s="4">
        <v>324</v>
      </c>
      <c r="B287" s="44" t="s">
        <v>1961</v>
      </c>
      <c r="C287" s="56">
        <v>32.908987000000003</v>
      </c>
      <c r="D287" s="53">
        <v>-117.208264</v>
      </c>
      <c r="E287" s="4" t="s">
        <v>329</v>
      </c>
      <c r="F287" s="46" t="s">
        <v>1962</v>
      </c>
      <c r="G287" s="64" t="s">
        <v>688</v>
      </c>
      <c r="H287" s="64" t="s">
        <v>146</v>
      </c>
      <c r="I287" s="64" t="s">
        <v>109</v>
      </c>
      <c r="J287" s="64" t="s">
        <v>109</v>
      </c>
      <c r="K287" s="64" t="s">
        <v>662</v>
      </c>
      <c r="L287" s="64" t="s">
        <v>663</v>
      </c>
      <c r="M287" s="64" t="s">
        <v>109</v>
      </c>
      <c r="N287" s="64" t="s">
        <v>109</v>
      </c>
      <c r="O287" s="66">
        <v>45300.5</v>
      </c>
      <c r="Q287" s="6">
        <v>39</v>
      </c>
      <c r="R287" s="64" t="s">
        <v>109</v>
      </c>
      <c r="S287" s="64" t="s">
        <v>109</v>
      </c>
      <c r="T287" s="64" t="s">
        <v>109</v>
      </c>
      <c r="U287" s="4" t="s">
        <v>404</v>
      </c>
      <c r="V287" s="4" t="s">
        <v>4027</v>
      </c>
      <c r="W287" s="4" t="b">
        <v>0</v>
      </c>
      <c r="X287" s="4" t="s">
        <v>487</v>
      </c>
      <c r="Y287" s="4" t="s">
        <v>1907</v>
      </c>
      <c r="AA287" s="53">
        <v>1.1599999999999999</v>
      </c>
      <c r="AB287" s="4" t="s">
        <v>118</v>
      </c>
      <c r="AC287" s="4">
        <v>69</v>
      </c>
      <c r="AD287" s="91" t="s">
        <v>109</v>
      </c>
      <c r="AE287" s="4">
        <v>1.2</v>
      </c>
      <c r="AF287" s="4" t="s">
        <v>4061</v>
      </c>
      <c r="AG287" s="5" t="s">
        <v>4062</v>
      </c>
      <c r="AH287" s="5" t="s">
        <v>4063</v>
      </c>
      <c r="AI287" s="4">
        <v>1</v>
      </c>
      <c r="AJ287" s="4" t="s">
        <v>4064</v>
      </c>
      <c r="AK287" s="4" t="s">
        <v>121</v>
      </c>
      <c r="AL287" s="4" t="s">
        <v>3027</v>
      </c>
      <c r="AM287" s="69" t="s">
        <v>4031</v>
      </c>
      <c r="AN287" s="4" t="s">
        <v>122</v>
      </c>
      <c r="AO287" s="4">
        <v>2020</v>
      </c>
      <c r="AP287" s="217" t="s">
        <v>109</v>
      </c>
      <c r="AQ287" s="4" t="b">
        <v>0</v>
      </c>
      <c r="AR287" s="4" t="s">
        <v>109</v>
      </c>
      <c r="AS287" s="4" t="s">
        <v>109</v>
      </c>
      <c r="AT287" s="4" t="s">
        <v>118</v>
      </c>
      <c r="AU287" s="4" t="b">
        <v>0</v>
      </c>
      <c r="AV287" s="4" t="s">
        <v>109</v>
      </c>
      <c r="AW287" s="4" t="s">
        <v>109</v>
      </c>
      <c r="AY287" s="4" t="s">
        <v>124</v>
      </c>
      <c r="AZ287" s="4" t="s">
        <v>109</v>
      </c>
      <c r="BA287" s="4" t="s">
        <v>109</v>
      </c>
      <c r="BB287" s="4" t="s">
        <v>109</v>
      </c>
      <c r="BC287" s="4" t="s">
        <v>123</v>
      </c>
      <c r="BD287" s="4" t="s">
        <v>1966</v>
      </c>
      <c r="BE287" s="4" t="s">
        <v>125</v>
      </c>
      <c r="BF287" s="4">
        <v>2025</v>
      </c>
      <c r="BG287" s="4" t="s">
        <v>126</v>
      </c>
      <c r="BH287" s="4" t="s">
        <v>109</v>
      </c>
      <c r="BI287" s="69" t="s">
        <v>109</v>
      </c>
      <c r="BJ287" s="69">
        <v>44926</v>
      </c>
      <c r="BK287" s="69">
        <v>46752</v>
      </c>
      <c r="BL287" s="97" t="s">
        <v>326</v>
      </c>
      <c r="BM287" s="4" t="s">
        <v>109</v>
      </c>
      <c r="BN287" s="6" t="b">
        <v>1</v>
      </c>
      <c r="BO287" s="130">
        <v>1810.588</v>
      </c>
      <c r="BP287" s="4" t="s">
        <v>128</v>
      </c>
      <c r="CF287" s="4">
        <v>2025</v>
      </c>
      <c r="CS287" s="144"/>
      <c r="CU287" s="216" t="s">
        <v>3187</v>
      </c>
      <c r="CW287" s="4" t="s">
        <v>4065</v>
      </c>
      <c r="CX287" s="39"/>
    </row>
    <row r="288" spans="1:102" ht="39.6" x14ac:dyDescent="0.3">
      <c r="A288" s="2">
        <v>326</v>
      </c>
      <c r="B288" s="43" t="s">
        <v>1967</v>
      </c>
      <c r="C288" s="55">
        <v>33.358319999999999</v>
      </c>
      <c r="D288" s="51">
        <v>-117.25621700000001</v>
      </c>
      <c r="E288" s="2" t="s">
        <v>1968</v>
      </c>
      <c r="F288" s="47" t="s">
        <v>1969</v>
      </c>
      <c r="G288" s="67" t="s">
        <v>688</v>
      </c>
      <c r="H288" s="67" t="s">
        <v>146</v>
      </c>
      <c r="I288" s="67" t="s">
        <v>109</v>
      </c>
      <c r="J288" s="67" t="s">
        <v>109</v>
      </c>
      <c r="K288" s="67" t="s">
        <v>662</v>
      </c>
      <c r="L288" s="67" t="s">
        <v>663</v>
      </c>
      <c r="M288" s="67" t="s">
        <v>109</v>
      </c>
      <c r="N288" s="67" t="s">
        <v>109</v>
      </c>
      <c r="O288" s="74">
        <v>45332</v>
      </c>
      <c r="Q288" s="7">
        <v>52</v>
      </c>
      <c r="R288" s="67" t="s">
        <v>109</v>
      </c>
      <c r="S288" s="67" t="s">
        <v>109</v>
      </c>
      <c r="T288" s="67" t="s">
        <v>109</v>
      </c>
      <c r="U288" s="2" t="s">
        <v>404</v>
      </c>
      <c r="V288" s="2" t="s">
        <v>4027</v>
      </c>
      <c r="W288" s="2" t="b">
        <v>0</v>
      </c>
      <c r="X288" s="2" t="s">
        <v>109</v>
      </c>
      <c r="Y288" s="2" t="s">
        <v>876</v>
      </c>
      <c r="AA288" s="51">
        <v>6.1778370000000002</v>
      </c>
      <c r="AB288" s="2" t="s">
        <v>118</v>
      </c>
      <c r="AC288" s="2">
        <v>69</v>
      </c>
      <c r="AD288" s="90" t="s">
        <v>109</v>
      </c>
      <c r="AE288" s="2">
        <v>1.2</v>
      </c>
      <c r="AF288" s="2" t="s">
        <v>4066</v>
      </c>
      <c r="AG288" s="3" t="s">
        <v>4067</v>
      </c>
      <c r="AH288" s="3" t="s">
        <v>4068</v>
      </c>
      <c r="AI288" s="2">
        <v>1</v>
      </c>
      <c r="AJ288" s="2" t="s">
        <v>4069</v>
      </c>
      <c r="AK288" s="2" t="s">
        <v>121</v>
      </c>
      <c r="AL288" s="2" t="s">
        <v>3027</v>
      </c>
      <c r="AM288" s="68" t="s">
        <v>4031</v>
      </c>
      <c r="AN288" s="2" t="s">
        <v>122</v>
      </c>
      <c r="AO288" s="2">
        <v>2020</v>
      </c>
      <c r="AP288" s="109" t="s">
        <v>109</v>
      </c>
      <c r="AQ288" s="2" t="b">
        <v>0</v>
      </c>
      <c r="AR288" s="2" t="s">
        <v>109</v>
      </c>
      <c r="AS288" s="2" t="s">
        <v>109</v>
      </c>
      <c r="AT288" s="2" t="s">
        <v>118</v>
      </c>
      <c r="AU288" s="2" t="b">
        <v>0</v>
      </c>
      <c r="AV288" s="2" t="s">
        <v>109</v>
      </c>
      <c r="AW288" s="2" t="s">
        <v>109</v>
      </c>
      <c r="AY288" s="2" t="s">
        <v>124</v>
      </c>
      <c r="AZ288" s="2" t="s">
        <v>109</v>
      </c>
      <c r="BA288" s="2" t="s">
        <v>118</v>
      </c>
      <c r="BB288" s="2" t="s">
        <v>109</v>
      </c>
      <c r="BC288" s="2" t="s">
        <v>135</v>
      </c>
      <c r="BD288" s="2" t="s">
        <v>109</v>
      </c>
      <c r="BE288" s="2" t="s">
        <v>109</v>
      </c>
      <c r="BF288" s="2" t="s">
        <v>109</v>
      </c>
      <c r="BG288" s="2" t="s">
        <v>546</v>
      </c>
      <c r="BH288" s="2" t="s">
        <v>109</v>
      </c>
      <c r="BI288" s="68">
        <v>46454</v>
      </c>
      <c r="BJ288" s="68">
        <v>45657</v>
      </c>
      <c r="BK288" s="68">
        <v>46640</v>
      </c>
      <c r="BL288" s="103" t="s">
        <v>246</v>
      </c>
      <c r="BM288" s="2" t="s">
        <v>109</v>
      </c>
      <c r="BN288" s="7" t="b">
        <v>1</v>
      </c>
      <c r="BO288" s="85">
        <v>1979.963</v>
      </c>
      <c r="BP288" s="2" t="s">
        <v>128</v>
      </c>
      <c r="CF288" s="2">
        <v>2025</v>
      </c>
      <c r="CS288" s="142" t="s">
        <v>337</v>
      </c>
      <c r="CU288" s="132" t="s">
        <v>3187</v>
      </c>
      <c r="CW288" s="2" t="s">
        <v>3338</v>
      </c>
      <c r="CX288" s="38"/>
    </row>
    <row r="289" spans="1:102" x14ac:dyDescent="0.3">
      <c r="A289" s="4">
        <v>327</v>
      </c>
      <c r="B289" s="44" t="s">
        <v>1975</v>
      </c>
      <c r="C289" s="56">
        <v>32.933984000000002</v>
      </c>
      <c r="D289" s="53">
        <v>-117.17835700000001</v>
      </c>
      <c r="E289" s="4" t="s">
        <v>329</v>
      </c>
      <c r="F289" s="46" t="s">
        <v>1976</v>
      </c>
      <c r="G289" s="64" t="s">
        <v>688</v>
      </c>
      <c r="H289" s="64" t="s">
        <v>146</v>
      </c>
      <c r="I289" s="64" t="s">
        <v>109</v>
      </c>
      <c r="J289" s="64" t="s">
        <v>109</v>
      </c>
      <c r="K289" s="64" t="s">
        <v>662</v>
      </c>
      <c r="L289" s="64" t="s">
        <v>663</v>
      </c>
      <c r="M289" s="64" t="s">
        <v>109</v>
      </c>
      <c r="N289" s="64" t="s">
        <v>109</v>
      </c>
      <c r="O289" s="66">
        <v>45408</v>
      </c>
      <c r="Q289" s="72">
        <v>34</v>
      </c>
      <c r="R289" s="64" t="s">
        <v>109</v>
      </c>
      <c r="S289" s="64" t="s">
        <v>109</v>
      </c>
      <c r="T289" s="64" t="s">
        <v>109</v>
      </c>
      <c r="U289" s="4" t="s">
        <v>404</v>
      </c>
      <c r="V289" s="4" t="s">
        <v>4027</v>
      </c>
      <c r="W289" s="4" t="b">
        <v>0</v>
      </c>
      <c r="X289" s="4" t="s">
        <v>487</v>
      </c>
      <c r="Y289" s="4" t="s">
        <v>876</v>
      </c>
      <c r="AA289" s="53">
        <v>5.4502920000000001</v>
      </c>
      <c r="AB289" s="4" t="s">
        <v>109</v>
      </c>
      <c r="AC289" s="4">
        <v>69</v>
      </c>
      <c r="AD289" s="91" t="s">
        <v>109</v>
      </c>
      <c r="AE289" s="4">
        <v>1.2</v>
      </c>
      <c r="AF289" s="4" t="s">
        <v>4070</v>
      </c>
      <c r="AG289" s="5" t="s">
        <v>4071</v>
      </c>
      <c r="AH289" s="5" t="s">
        <v>4072</v>
      </c>
      <c r="AI289" s="4">
        <v>1</v>
      </c>
      <c r="AJ289" s="4" t="s">
        <v>4073</v>
      </c>
      <c r="AK289" s="4" t="s">
        <v>121</v>
      </c>
      <c r="AL289" s="4" t="s">
        <v>3027</v>
      </c>
      <c r="AM289" s="69" t="s">
        <v>4074</v>
      </c>
      <c r="AN289" s="4" t="s">
        <v>122</v>
      </c>
      <c r="AO289" s="4">
        <v>2020</v>
      </c>
      <c r="AP289" s="217" t="s">
        <v>109</v>
      </c>
      <c r="AQ289" s="4" t="b">
        <v>0</v>
      </c>
      <c r="AR289" s="4" t="s">
        <v>109</v>
      </c>
      <c r="AS289" s="4" t="s">
        <v>109</v>
      </c>
      <c r="AT289" s="4" t="s">
        <v>118</v>
      </c>
      <c r="AU289" s="4" t="b">
        <v>0</v>
      </c>
      <c r="AV289" s="4" t="s">
        <v>109</v>
      </c>
      <c r="AW289" s="4" t="s">
        <v>109</v>
      </c>
      <c r="AY289" s="4" t="s">
        <v>124</v>
      </c>
      <c r="AZ289" s="4" t="s">
        <v>109</v>
      </c>
      <c r="BA289" s="4" t="s">
        <v>109</v>
      </c>
      <c r="BB289" s="4" t="s">
        <v>109</v>
      </c>
      <c r="BC289" s="4" t="s">
        <v>135</v>
      </c>
      <c r="BD289" s="4" t="s">
        <v>109</v>
      </c>
      <c r="BE289" s="4" t="s">
        <v>109</v>
      </c>
      <c r="BF289" s="4" t="s">
        <v>109</v>
      </c>
      <c r="BG289" s="4" t="s">
        <v>699</v>
      </c>
      <c r="BH289" s="4" t="s">
        <v>109</v>
      </c>
      <c r="BI289" s="69">
        <v>45677</v>
      </c>
      <c r="BJ289" s="69">
        <v>46387</v>
      </c>
      <c r="BK289" s="69">
        <v>45999</v>
      </c>
      <c r="BL289" s="97" t="s">
        <v>109</v>
      </c>
      <c r="BM289" s="4" t="s">
        <v>109</v>
      </c>
      <c r="BN289" s="6" t="b">
        <v>1</v>
      </c>
      <c r="BO289" s="130">
        <v>1979.963</v>
      </c>
      <c r="BP289" s="4" t="s">
        <v>128</v>
      </c>
      <c r="CF289" s="4">
        <v>2025</v>
      </c>
      <c r="CS289" s="144"/>
      <c r="CU289" s="216" t="s">
        <v>3187</v>
      </c>
      <c r="CW289" s="4" t="s">
        <v>4075</v>
      </c>
      <c r="CX289" s="39"/>
    </row>
    <row r="290" spans="1:102" ht="26.4" x14ac:dyDescent="0.3">
      <c r="A290" s="2">
        <v>328</v>
      </c>
      <c r="B290" s="43" t="s">
        <v>1982</v>
      </c>
      <c r="C290" s="55">
        <v>33.018000000000001</v>
      </c>
      <c r="D290" s="51">
        <v>-117.114</v>
      </c>
      <c r="E290" s="2" t="s">
        <v>329</v>
      </c>
      <c r="F290" s="47" t="s">
        <v>1983</v>
      </c>
      <c r="G290" s="67" t="s">
        <v>661</v>
      </c>
      <c r="H290" s="67" t="s">
        <v>146</v>
      </c>
      <c r="I290" s="67" t="s">
        <v>113</v>
      </c>
      <c r="J290" s="67" t="s">
        <v>109</v>
      </c>
      <c r="K290" s="67" t="s">
        <v>662</v>
      </c>
      <c r="L290" s="67" t="s">
        <v>925</v>
      </c>
      <c r="M290" s="67" t="s">
        <v>109</v>
      </c>
      <c r="N290" s="67" t="s">
        <v>109</v>
      </c>
      <c r="O290" s="74">
        <v>45364</v>
      </c>
      <c r="Q290" s="7">
        <v>33</v>
      </c>
      <c r="R290" s="67" t="s">
        <v>109</v>
      </c>
      <c r="S290" s="67" t="s">
        <v>109</v>
      </c>
      <c r="T290" s="67" t="s">
        <v>109</v>
      </c>
      <c r="U290" s="2" t="s">
        <v>1910</v>
      </c>
      <c r="V290" s="2" t="s">
        <v>3386</v>
      </c>
      <c r="W290" s="2" t="b">
        <v>0</v>
      </c>
      <c r="X290" s="2" t="s">
        <v>109</v>
      </c>
      <c r="Y290" s="2" t="s">
        <v>866</v>
      </c>
      <c r="AA290" s="51">
        <v>0.9</v>
      </c>
      <c r="AB290" s="2" t="s">
        <v>118</v>
      </c>
      <c r="AC290" s="2">
        <v>69</v>
      </c>
      <c r="AD290" s="90" t="s">
        <v>109</v>
      </c>
      <c r="AE290" s="2">
        <v>1.2</v>
      </c>
      <c r="AF290" s="2" t="s">
        <v>4076</v>
      </c>
      <c r="AG290" s="3" t="s">
        <v>4077</v>
      </c>
      <c r="AH290" s="3" t="s">
        <v>4078</v>
      </c>
      <c r="AI290" s="2">
        <v>1</v>
      </c>
      <c r="AJ290" s="2" t="s">
        <v>4079</v>
      </c>
      <c r="AK290" s="2" t="s">
        <v>121</v>
      </c>
      <c r="AL290" s="2" t="s">
        <v>3027</v>
      </c>
      <c r="AM290" s="68" t="s">
        <v>4031</v>
      </c>
      <c r="AN290" s="2" t="s">
        <v>122</v>
      </c>
      <c r="AO290" s="2">
        <v>2020</v>
      </c>
      <c r="AP290" s="109" t="s">
        <v>109</v>
      </c>
      <c r="AQ290" s="2" t="b">
        <v>0</v>
      </c>
      <c r="AR290" s="2" t="s">
        <v>109</v>
      </c>
      <c r="AS290" s="2" t="s">
        <v>109</v>
      </c>
      <c r="AT290" s="2" t="s">
        <v>118</v>
      </c>
      <c r="AU290" s="2" t="b">
        <v>0</v>
      </c>
      <c r="AV290" s="2" t="s">
        <v>109</v>
      </c>
      <c r="AW290" s="2" t="s">
        <v>109</v>
      </c>
      <c r="AY290" s="2" t="s">
        <v>124</v>
      </c>
      <c r="AZ290" s="2" t="s">
        <v>109</v>
      </c>
      <c r="BA290" s="2" t="s">
        <v>109</v>
      </c>
      <c r="BB290" s="2" t="s">
        <v>118</v>
      </c>
      <c r="BC290" s="2" t="s">
        <v>123</v>
      </c>
      <c r="BD290" s="68" t="s">
        <v>109</v>
      </c>
      <c r="BE290" s="2" t="s">
        <v>109</v>
      </c>
      <c r="BF290" s="2" t="s">
        <v>109</v>
      </c>
      <c r="BG290" s="2" t="s">
        <v>546</v>
      </c>
      <c r="BH290" s="2" t="s">
        <v>109</v>
      </c>
      <c r="BI290" s="68" t="s">
        <v>109</v>
      </c>
      <c r="BJ290" s="68">
        <v>45657</v>
      </c>
      <c r="BK290" s="68" t="s">
        <v>109</v>
      </c>
      <c r="BL290" s="98" t="s">
        <v>109</v>
      </c>
      <c r="BM290" s="2" t="s">
        <v>109</v>
      </c>
      <c r="BN290" s="98" t="b">
        <v>0</v>
      </c>
      <c r="BO290" s="85">
        <v>1973</v>
      </c>
      <c r="BP290" s="2" t="s">
        <v>128</v>
      </c>
      <c r="CF290" s="7" t="s">
        <v>109</v>
      </c>
      <c r="CS290" s="145"/>
      <c r="CU290" s="132" t="s">
        <v>3187</v>
      </c>
      <c r="CW290" s="2" t="s">
        <v>4080</v>
      </c>
      <c r="CX290" s="38"/>
    </row>
    <row r="291" spans="1:102" ht="26.4" x14ac:dyDescent="0.3">
      <c r="A291" s="4">
        <v>329</v>
      </c>
      <c r="B291" s="44" t="s">
        <v>1986</v>
      </c>
      <c r="C291" s="56">
        <v>32.626730000000002</v>
      </c>
      <c r="D291" s="53">
        <v>-116.95620700000001</v>
      </c>
      <c r="E291" s="4" t="s">
        <v>177</v>
      </c>
      <c r="F291" s="46" t="s">
        <v>1987</v>
      </c>
      <c r="G291" s="64" t="s">
        <v>661</v>
      </c>
      <c r="H291" s="64" t="s">
        <v>146</v>
      </c>
      <c r="I291" s="64" t="s">
        <v>113</v>
      </c>
      <c r="J291" s="64" t="s">
        <v>109</v>
      </c>
      <c r="K291" s="64" t="s">
        <v>662</v>
      </c>
      <c r="L291" s="64" t="s">
        <v>925</v>
      </c>
      <c r="M291" s="64" t="s">
        <v>109</v>
      </c>
      <c r="N291" s="64" t="s">
        <v>109</v>
      </c>
      <c r="O291" s="66">
        <v>45307.5</v>
      </c>
      <c r="Q291" s="6">
        <v>32</v>
      </c>
      <c r="R291" s="64" t="s">
        <v>109</v>
      </c>
      <c r="S291" s="64" t="s">
        <v>109</v>
      </c>
      <c r="T291" s="64" t="s">
        <v>109</v>
      </c>
      <c r="U291" s="4" t="s">
        <v>404</v>
      </c>
      <c r="V291" s="4" t="s">
        <v>3386</v>
      </c>
      <c r="W291" s="4" t="b">
        <v>0</v>
      </c>
      <c r="X291" s="4" t="s">
        <v>109</v>
      </c>
      <c r="Y291" s="4" t="s">
        <v>866</v>
      </c>
      <c r="AA291" s="53">
        <v>2.8</v>
      </c>
      <c r="AB291" s="4" t="s">
        <v>118</v>
      </c>
      <c r="AC291" s="4">
        <v>69</v>
      </c>
      <c r="AD291" s="91" t="s">
        <v>109</v>
      </c>
      <c r="AE291" s="4">
        <v>1.2</v>
      </c>
      <c r="AF291" s="4" t="s">
        <v>4081</v>
      </c>
      <c r="AG291" s="5" t="s">
        <v>4082</v>
      </c>
      <c r="AH291" s="5" t="s">
        <v>4083</v>
      </c>
      <c r="AI291" s="4">
        <v>1</v>
      </c>
      <c r="AJ291" s="4" t="s">
        <v>4084</v>
      </c>
      <c r="AK291" s="4" t="s">
        <v>121</v>
      </c>
      <c r="AL291" s="4" t="s">
        <v>3027</v>
      </c>
      <c r="AM291" s="69" t="s">
        <v>4031</v>
      </c>
      <c r="AN291" s="4" t="s">
        <v>122</v>
      </c>
      <c r="AO291" s="4">
        <v>2020</v>
      </c>
      <c r="AP291" s="217" t="s">
        <v>109</v>
      </c>
      <c r="AQ291" s="4" t="b">
        <v>0</v>
      </c>
      <c r="AR291" s="4" t="s">
        <v>109</v>
      </c>
      <c r="AS291" s="4" t="s">
        <v>109</v>
      </c>
      <c r="AT291" s="4" t="s">
        <v>118</v>
      </c>
      <c r="AU291" s="4" t="b">
        <v>0</v>
      </c>
      <c r="AV291" s="4" t="s">
        <v>109</v>
      </c>
      <c r="AW291" s="4" t="s">
        <v>109</v>
      </c>
      <c r="AY291" s="4" t="s">
        <v>124</v>
      </c>
      <c r="AZ291" s="4" t="s">
        <v>109</v>
      </c>
      <c r="BA291" s="4" t="s">
        <v>109</v>
      </c>
      <c r="BB291" s="4" t="s">
        <v>118</v>
      </c>
      <c r="BC291" s="4" t="s">
        <v>123</v>
      </c>
      <c r="BD291" s="4" t="s">
        <v>109</v>
      </c>
      <c r="BE291" s="4" t="s">
        <v>109</v>
      </c>
      <c r="BF291" s="4" t="s">
        <v>109</v>
      </c>
      <c r="BG291" s="4" t="s">
        <v>546</v>
      </c>
      <c r="BH291" s="4" t="s">
        <v>109</v>
      </c>
      <c r="BI291" s="69" t="s">
        <v>1990</v>
      </c>
      <c r="BJ291" s="69">
        <v>45657</v>
      </c>
      <c r="BK291" s="69">
        <v>46412</v>
      </c>
      <c r="BL291" s="97" t="s">
        <v>326</v>
      </c>
      <c r="BM291" s="4" t="s">
        <v>109</v>
      </c>
      <c r="BN291" s="97" t="b">
        <v>0</v>
      </c>
      <c r="BO291" s="130">
        <v>1973.076</v>
      </c>
      <c r="BP291" s="4" t="s">
        <v>128</v>
      </c>
      <c r="CF291" s="6" t="s">
        <v>109</v>
      </c>
      <c r="CS291" s="144"/>
      <c r="CU291" s="216" t="s">
        <v>3187</v>
      </c>
      <c r="CW291" s="4" t="s">
        <v>4085</v>
      </c>
      <c r="CX291" s="39"/>
    </row>
    <row r="292" spans="1:102" x14ac:dyDescent="0.3">
      <c r="A292" s="2">
        <v>330</v>
      </c>
      <c r="B292" s="43" t="s">
        <v>1991</v>
      </c>
      <c r="C292" s="51">
        <v>33.041950999999997</v>
      </c>
      <c r="D292" s="51">
        <v>-117.154734</v>
      </c>
      <c r="E292" s="2" t="s">
        <v>1992</v>
      </c>
      <c r="F292" s="47" t="s">
        <v>1993</v>
      </c>
      <c r="G292" s="2" t="s">
        <v>661</v>
      </c>
      <c r="H292" s="2" t="s">
        <v>146</v>
      </c>
      <c r="I292" s="2" t="s">
        <v>275</v>
      </c>
      <c r="J292" s="2" t="s">
        <v>109</v>
      </c>
      <c r="K292" s="2" t="s">
        <v>662</v>
      </c>
      <c r="L292" s="2" t="s">
        <v>663</v>
      </c>
      <c r="M292" s="2" t="s">
        <v>109</v>
      </c>
      <c r="N292" s="2" t="s">
        <v>109</v>
      </c>
      <c r="O292" s="68">
        <v>45419</v>
      </c>
      <c r="Q292" s="2">
        <v>60</v>
      </c>
      <c r="R292" s="2" t="s">
        <v>109</v>
      </c>
      <c r="S292" s="2" t="s">
        <v>109</v>
      </c>
      <c r="T292" s="2" t="s">
        <v>109</v>
      </c>
      <c r="U292" s="2" t="s">
        <v>404</v>
      </c>
      <c r="V292" s="2" t="s">
        <v>4027</v>
      </c>
      <c r="W292" s="2" t="b">
        <v>0</v>
      </c>
      <c r="X292" s="2" t="s">
        <v>109</v>
      </c>
      <c r="Y292" s="2" t="s">
        <v>481</v>
      </c>
      <c r="AA292" s="51">
        <v>13.000332999999999</v>
      </c>
      <c r="AB292" s="2" t="s">
        <v>118</v>
      </c>
      <c r="AC292" s="2">
        <v>138</v>
      </c>
      <c r="AD292" s="2" t="s">
        <v>109</v>
      </c>
      <c r="AE292" s="2">
        <v>1.2</v>
      </c>
      <c r="AF292" s="2" t="s">
        <v>4086</v>
      </c>
      <c r="AG292" s="3" t="s">
        <v>4087</v>
      </c>
      <c r="AH292" s="3" t="s">
        <v>4088</v>
      </c>
      <c r="AI292" s="2">
        <v>1</v>
      </c>
      <c r="AJ292" s="2" t="s">
        <v>4089</v>
      </c>
      <c r="AK292" s="2" t="s">
        <v>121</v>
      </c>
      <c r="AL292" s="67" t="s">
        <v>3027</v>
      </c>
      <c r="AM292" s="68" t="s">
        <v>4090</v>
      </c>
      <c r="AN292" s="2" t="s">
        <v>122</v>
      </c>
      <c r="AO292" s="67">
        <v>2020</v>
      </c>
      <c r="AP292" s="109" t="s">
        <v>109</v>
      </c>
      <c r="AQ292" s="67" t="b">
        <v>0</v>
      </c>
      <c r="AR292" s="67" t="s">
        <v>109</v>
      </c>
      <c r="AS292" s="67" t="s">
        <v>109</v>
      </c>
      <c r="AT292" s="67" t="s">
        <v>118</v>
      </c>
      <c r="AU292" s="2" t="b">
        <v>0</v>
      </c>
      <c r="AV292" s="2" t="s">
        <v>109</v>
      </c>
      <c r="AW292" s="2" t="s">
        <v>118</v>
      </c>
      <c r="AY292" s="2" t="s">
        <v>109</v>
      </c>
      <c r="AZ292" s="2" t="s">
        <v>109</v>
      </c>
      <c r="BA292" s="2" t="s">
        <v>118</v>
      </c>
      <c r="BB292" s="2" t="s">
        <v>118</v>
      </c>
      <c r="BC292" s="2" t="s">
        <v>135</v>
      </c>
      <c r="BD292" s="2" t="s">
        <v>109</v>
      </c>
      <c r="BE292" s="2" t="s">
        <v>2892</v>
      </c>
      <c r="BF292" s="2" t="s">
        <v>109</v>
      </c>
      <c r="BG292" s="2" t="s">
        <v>425</v>
      </c>
      <c r="BH292" s="2" t="s">
        <v>109</v>
      </c>
      <c r="BI292" s="68" t="s">
        <v>1141</v>
      </c>
      <c r="BJ292" s="68">
        <v>45657</v>
      </c>
      <c r="BK292" s="68">
        <v>45805</v>
      </c>
      <c r="BL292" s="98" t="s">
        <v>109</v>
      </c>
      <c r="BM292" s="2" t="s">
        <v>109</v>
      </c>
      <c r="BN292" s="98" t="b">
        <v>0</v>
      </c>
      <c r="BO292" s="85">
        <v>88878</v>
      </c>
      <c r="BP292" s="2" t="s">
        <v>128</v>
      </c>
      <c r="CF292" s="2" t="s">
        <v>109</v>
      </c>
      <c r="CS292" s="142" t="s">
        <v>1999</v>
      </c>
      <c r="CU292" s="132" t="s">
        <v>3187</v>
      </c>
      <c r="CW292" s="2" t="s">
        <v>3452</v>
      </c>
      <c r="CX292" s="38"/>
    </row>
    <row r="293" spans="1:102" ht="39.6" x14ac:dyDescent="0.3">
      <c r="A293" s="4">
        <v>333</v>
      </c>
      <c r="B293" s="44" t="s">
        <v>2000</v>
      </c>
      <c r="C293" s="53">
        <v>32.718120999999996</v>
      </c>
      <c r="D293" s="53">
        <v>-115.71533599999999</v>
      </c>
      <c r="E293" s="4" t="s">
        <v>380</v>
      </c>
      <c r="F293" s="46" t="s">
        <v>2001</v>
      </c>
      <c r="G293" s="4" t="s">
        <v>2002</v>
      </c>
      <c r="H293" s="4" t="s">
        <v>146</v>
      </c>
      <c r="I293" s="4" t="s">
        <v>109</v>
      </c>
      <c r="J293" s="4" t="s">
        <v>109</v>
      </c>
      <c r="K293" s="4" t="s">
        <v>114</v>
      </c>
      <c r="L293" s="4" t="s">
        <v>2921</v>
      </c>
      <c r="M293" s="4" t="s">
        <v>109</v>
      </c>
      <c r="N293" s="4" t="s">
        <v>109</v>
      </c>
      <c r="O293" s="69">
        <v>45595</v>
      </c>
      <c r="Q293" s="72" t="s">
        <v>2003</v>
      </c>
      <c r="R293" s="4" t="s">
        <v>109</v>
      </c>
      <c r="S293" s="4" t="s">
        <v>1052</v>
      </c>
      <c r="T293" s="4" t="s">
        <v>109</v>
      </c>
      <c r="U293" s="4" t="s">
        <v>116</v>
      </c>
      <c r="V293" s="4" t="s">
        <v>3022</v>
      </c>
      <c r="W293" s="4" t="b">
        <v>0</v>
      </c>
      <c r="X293" s="4" t="s">
        <v>109</v>
      </c>
      <c r="Y293" s="4" t="s">
        <v>4091</v>
      </c>
      <c r="AA293" s="4" t="s">
        <v>118</v>
      </c>
      <c r="AB293" s="53">
        <v>55.477547999999999</v>
      </c>
      <c r="AC293" s="4">
        <v>500</v>
      </c>
      <c r="AD293" s="4" t="s">
        <v>1433</v>
      </c>
      <c r="AE293" s="4">
        <v>4.0999999999999996</v>
      </c>
      <c r="AF293" s="4" t="s">
        <v>4092</v>
      </c>
      <c r="AG293" s="5" t="s">
        <v>4093</v>
      </c>
      <c r="AH293" s="5" t="s">
        <v>4094</v>
      </c>
      <c r="AI293" s="4">
        <v>1</v>
      </c>
      <c r="AJ293" s="4" t="s">
        <v>4095</v>
      </c>
      <c r="AK293" s="4" t="s">
        <v>121</v>
      </c>
      <c r="AL293" s="4" t="s">
        <v>3027</v>
      </c>
      <c r="AM293" s="69" t="s">
        <v>4096</v>
      </c>
      <c r="AN293" s="4" t="s">
        <v>122</v>
      </c>
      <c r="AO293" s="4">
        <v>2020</v>
      </c>
      <c r="AP293" s="217" t="s">
        <v>109</v>
      </c>
      <c r="AQ293" s="4" t="b">
        <v>0</v>
      </c>
      <c r="AR293" s="4" t="s">
        <v>109</v>
      </c>
      <c r="AS293" s="4" t="s">
        <v>109</v>
      </c>
      <c r="AT293" s="4" t="s">
        <v>118</v>
      </c>
      <c r="AU293" s="4" t="b">
        <v>0</v>
      </c>
      <c r="AV293" s="4" t="s">
        <v>109</v>
      </c>
      <c r="AW293" s="4" t="s">
        <v>118</v>
      </c>
      <c r="AY293" s="4" t="s">
        <v>109</v>
      </c>
      <c r="AZ293" s="4" t="s">
        <v>109</v>
      </c>
      <c r="BA293" s="4" t="s">
        <v>118</v>
      </c>
      <c r="BB293" s="4" t="s">
        <v>118</v>
      </c>
      <c r="BC293" s="4" t="s">
        <v>135</v>
      </c>
      <c r="BD293" s="4" t="s">
        <v>109</v>
      </c>
      <c r="BE293" s="4" t="s">
        <v>109</v>
      </c>
      <c r="BF293" s="4" t="s">
        <v>109</v>
      </c>
      <c r="BG293" s="4" t="s">
        <v>150</v>
      </c>
      <c r="BH293" s="4" t="s">
        <v>109</v>
      </c>
      <c r="BI293" s="69" t="s">
        <v>1577</v>
      </c>
      <c r="BJ293" s="69">
        <v>45535</v>
      </c>
      <c r="BK293" s="69">
        <v>45506</v>
      </c>
      <c r="BL293" s="97" t="s">
        <v>240</v>
      </c>
      <c r="BM293" s="4" t="s">
        <v>109</v>
      </c>
      <c r="BN293" s="4" t="b">
        <v>1</v>
      </c>
      <c r="BO293" s="130">
        <v>3742.2550000000001</v>
      </c>
      <c r="BP293" s="4" t="s">
        <v>128</v>
      </c>
      <c r="CF293" s="4" t="s">
        <v>2295</v>
      </c>
      <c r="CS293" s="148" t="s">
        <v>337</v>
      </c>
      <c r="CU293" s="216" t="s">
        <v>3028</v>
      </c>
      <c r="CW293" s="4" t="s">
        <v>3149</v>
      </c>
      <c r="CX293" s="39"/>
    </row>
    <row r="294" spans="1:102" x14ac:dyDescent="0.3">
      <c r="A294" s="2">
        <v>334</v>
      </c>
      <c r="B294" s="43" t="s">
        <v>2007</v>
      </c>
      <c r="C294" s="55">
        <v>32.917892999999999</v>
      </c>
      <c r="D294" s="51">
        <v>-117.03217100000001</v>
      </c>
      <c r="E294" s="2" t="s">
        <v>329</v>
      </c>
      <c r="F294" s="47" t="s">
        <v>2008</v>
      </c>
      <c r="G294" s="67" t="s">
        <v>688</v>
      </c>
      <c r="H294" s="67" t="s">
        <v>146</v>
      </c>
      <c r="I294" s="67" t="s">
        <v>109</v>
      </c>
      <c r="J294" s="67" t="s">
        <v>109</v>
      </c>
      <c r="K294" s="67" t="s">
        <v>662</v>
      </c>
      <c r="L294" s="67" t="s">
        <v>663</v>
      </c>
      <c r="M294" s="67" t="s">
        <v>109</v>
      </c>
      <c r="N294" s="67" t="s">
        <v>109</v>
      </c>
      <c r="O294" s="74">
        <v>45353</v>
      </c>
      <c r="Q294" s="7">
        <v>60</v>
      </c>
      <c r="R294" s="67" t="s">
        <v>109</v>
      </c>
      <c r="S294" s="67" t="s">
        <v>109</v>
      </c>
      <c r="T294" s="67" t="s">
        <v>109</v>
      </c>
      <c r="U294" s="2" t="s">
        <v>404</v>
      </c>
      <c r="V294" s="2" t="s">
        <v>4027</v>
      </c>
      <c r="W294" s="2" t="b">
        <v>0</v>
      </c>
      <c r="X294" s="2" t="s">
        <v>109</v>
      </c>
      <c r="Y294" s="2" t="s">
        <v>876</v>
      </c>
      <c r="AA294" s="51">
        <v>0.28630899999999998</v>
      </c>
      <c r="AB294" s="2" t="s">
        <v>118</v>
      </c>
      <c r="AC294" s="2">
        <v>69</v>
      </c>
      <c r="AD294" s="90" t="s">
        <v>109</v>
      </c>
      <c r="AE294" s="2">
        <v>1.2</v>
      </c>
      <c r="AF294" s="2" t="s">
        <v>4097</v>
      </c>
      <c r="AG294" s="3" t="s">
        <v>4098</v>
      </c>
      <c r="AH294" s="3" t="s">
        <v>4099</v>
      </c>
      <c r="AI294" s="2">
        <v>1</v>
      </c>
      <c r="AJ294" s="2" t="s">
        <v>4100</v>
      </c>
      <c r="AK294" s="2" t="s">
        <v>121</v>
      </c>
      <c r="AL294" s="2" t="s">
        <v>3027</v>
      </c>
      <c r="AM294" s="68" t="s">
        <v>4101</v>
      </c>
      <c r="AN294" s="2" t="s">
        <v>122</v>
      </c>
      <c r="AO294" s="2">
        <v>2020</v>
      </c>
      <c r="AP294" s="109" t="s">
        <v>109</v>
      </c>
      <c r="AQ294" s="2" t="b">
        <v>0</v>
      </c>
      <c r="AR294" s="2" t="s">
        <v>109</v>
      </c>
      <c r="AS294" s="2" t="s">
        <v>109</v>
      </c>
      <c r="AT294" s="2" t="s">
        <v>118</v>
      </c>
      <c r="AU294" s="2" t="b">
        <v>0</v>
      </c>
      <c r="AV294" s="2" t="s">
        <v>109</v>
      </c>
      <c r="AW294" s="2" t="s">
        <v>109</v>
      </c>
      <c r="AY294" s="2" t="s">
        <v>124</v>
      </c>
      <c r="AZ294" s="2" t="s">
        <v>109</v>
      </c>
      <c r="BA294" s="2" t="s">
        <v>118</v>
      </c>
      <c r="BB294" s="2" t="s">
        <v>109</v>
      </c>
      <c r="BC294" s="2" t="s">
        <v>135</v>
      </c>
      <c r="BD294" s="2" t="s">
        <v>109</v>
      </c>
      <c r="BE294" s="2" t="s">
        <v>494</v>
      </c>
      <c r="BF294" s="2">
        <v>2022</v>
      </c>
      <c r="BG294" s="2" t="s">
        <v>126</v>
      </c>
      <c r="BH294" s="2" t="s">
        <v>109</v>
      </c>
      <c r="BI294" s="68">
        <v>45054</v>
      </c>
      <c r="BJ294" s="68">
        <v>45309</v>
      </c>
      <c r="BK294" s="68">
        <v>45140</v>
      </c>
      <c r="BL294" s="98" t="s">
        <v>109</v>
      </c>
      <c r="BM294" s="2" t="s">
        <v>109</v>
      </c>
      <c r="BN294" s="2" t="b">
        <v>1</v>
      </c>
      <c r="BO294" s="85">
        <v>1959.396</v>
      </c>
      <c r="BP294" s="2" t="s">
        <v>128</v>
      </c>
      <c r="CF294" s="7" t="s">
        <v>174</v>
      </c>
      <c r="CS294" s="142"/>
      <c r="CU294" s="132" t="s">
        <v>3187</v>
      </c>
      <c r="CW294" s="2" t="s">
        <v>4102</v>
      </c>
      <c r="CX294" s="38"/>
    </row>
    <row r="295" spans="1:102" ht="39.6" x14ac:dyDescent="0.3">
      <c r="A295" s="4">
        <v>336</v>
      </c>
      <c r="B295" s="44" t="s">
        <v>2013</v>
      </c>
      <c r="C295" s="53">
        <v>33.227693000000002</v>
      </c>
      <c r="D295" s="53">
        <v>-117.389567</v>
      </c>
      <c r="E295" s="4" t="s">
        <v>2014</v>
      </c>
      <c r="F295" s="46" t="s">
        <v>4103</v>
      </c>
      <c r="G295" s="4" t="s">
        <v>661</v>
      </c>
      <c r="H295" s="4" t="s">
        <v>146</v>
      </c>
      <c r="I295" s="4" t="s">
        <v>113</v>
      </c>
      <c r="J295" s="4" t="s">
        <v>109</v>
      </c>
      <c r="K295" s="4" t="s">
        <v>662</v>
      </c>
      <c r="L295" s="4" t="s">
        <v>663</v>
      </c>
      <c r="M295" s="4" t="s">
        <v>109</v>
      </c>
      <c r="N295" s="4" t="s">
        <v>109</v>
      </c>
      <c r="O295" s="69">
        <v>45498</v>
      </c>
      <c r="Q295" s="4">
        <v>60</v>
      </c>
      <c r="R295" s="4" t="s">
        <v>109</v>
      </c>
      <c r="S295" s="4" t="s">
        <v>109</v>
      </c>
      <c r="T295" s="4" t="s">
        <v>109</v>
      </c>
      <c r="U295" s="4" t="s">
        <v>404</v>
      </c>
      <c r="V295" s="4" t="s">
        <v>4027</v>
      </c>
      <c r="W295" s="4" t="b">
        <v>0</v>
      </c>
      <c r="X295" s="4" t="s">
        <v>109</v>
      </c>
      <c r="Y295" s="4" t="s">
        <v>672</v>
      </c>
      <c r="AA295" s="53">
        <v>0.49947200000000003</v>
      </c>
      <c r="AB295" s="4" t="s">
        <v>118</v>
      </c>
      <c r="AC295" s="4">
        <v>69</v>
      </c>
      <c r="AD295" s="4" t="s">
        <v>109</v>
      </c>
      <c r="AE295" s="4">
        <v>1.2</v>
      </c>
      <c r="AF295" s="4" t="s">
        <v>4104</v>
      </c>
      <c r="AG295" s="5" t="s">
        <v>4105</v>
      </c>
      <c r="AH295" s="5" t="s">
        <v>4106</v>
      </c>
      <c r="AI295" s="4">
        <v>1</v>
      </c>
      <c r="AJ295" s="4" t="s">
        <v>4107</v>
      </c>
      <c r="AK295" s="4" t="s">
        <v>121</v>
      </c>
      <c r="AL295" s="4" t="s">
        <v>3027</v>
      </c>
      <c r="AM295" s="69" t="s">
        <v>4108</v>
      </c>
      <c r="AN295" s="4" t="s">
        <v>122</v>
      </c>
      <c r="AO295" s="4">
        <v>2020</v>
      </c>
      <c r="AP295" s="217" t="s">
        <v>109</v>
      </c>
      <c r="AQ295" s="4" t="b">
        <v>0</v>
      </c>
      <c r="AR295" s="4" t="s">
        <v>109</v>
      </c>
      <c r="AS295" s="4" t="s">
        <v>109</v>
      </c>
      <c r="AT295" s="4" t="s">
        <v>118</v>
      </c>
      <c r="AU295" s="4" t="b">
        <v>0</v>
      </c>
      <c r="AV295" s="4" t="s">
        <v>109</v>
      </c>
      <c r="AW295" s="4" t="s">
        <v>118</v>
      </c>
      <c r="AY295" s="4" t="s">
        <v>124</v>
      </c>
      <c r="AZ295" s="4" t="s">
        <v>539</v>
      </c>
      <c r="BA295" s="4" t="s">
        <v>226</v>
      </c>
      <c r="BB295" s="4" t="s">
        <v>767</v>
      </c>
      <c r="BC295" s="4" t="s">
        <v>135</v>
      </c>
      <c r="BD295" s="4" t="s">
        <v>109</v>
      </c>
      <c r="BE295" s="4" t="s">
        <v>494</v>
      </c>
      <c r="BF295" s="4">
        <v>2023</v>
      </c>
      <c r="BG295" s="4" t="s">
        <v>126</v>
      </c>
      <c r="BH295" s="4" t="s">
        <v>109</v>
      </c>
      <c r="BI295" s="69" t="s">
        <v>4109</v>
      </c>
      <c r="BJ295" s="69">
        <v>45596</v>
      </c>
      <c r="BK295" s="69">
        <v>45504</v>
      </c>
      <c r="BL295" s="97" t="s">
        <v>246</v>
      </c>
      <c r="BM295" s="4" t="s">
        <v>109</v>
      </c>
      <c r="BN295" s="4" t="b">
        <v>1</v>
      </c>
      <c r="BO295" s="130">
        <v>3977.80548</v>
      </c>
      <c r="BP295" s="4" t="s">
        <v>128</v>
      </c>
      <c r="CF295" s="4" t="s">
        <v>154</v>
      </c>
      <c r="CS295" s="143" t="s">
        <v>337</v>
      </c>
      <c r="CU295" s="216" t="s">
        <v>3187</v>
      </c>
      <c r="CW295" s="4" t="s">
        <v>3331</v>
      </c>
      <c r="CX295" s="39"/>
    </row>
    <row r="296" spans="1:102" ht="39.6" x14ac:dyDescent="0.3">
      <c r="A296" s="2">
        <v>337</v>
      </c>
      <c r="B296" s="43" t="s">
        <v>2021</v>
      </c>
      <c r="C296" s="51">
        <v>32.898000000000003</v>
      </c>
      <c r="D296" s="51">
        <v>-117.24</v>
      </c>
      <c r="E296" s="2" t="s">
        <v>329</v>
      </c>
      <c r="F296" s="47" t="s">
        <v>2022</v>
      </c>
      <c r="G296" s="2" t="s">
        <v>111</v>
      </c>
      <c r="H296" s="2" t="s">
        <v>113</v>
      </c>
      <c r="I296" s="2" t="s">
        <v>109</v>
      </c>
      <c r="J296" s="2" t="s">
        <v>109</v>
      </c>
      <c r="K296" s="2" t="s">
        <v>114</v>
      </c>
      <c r="L296" s="2" t="s">
        <v>251</v>
      </c>
      <c r="M296" s="2" t="s">
        <v>109</v>
      </c>
      <c r="N296" s="2" t="s">
        <v>109</v>
      </c>
      <c r="O296" s="68">
        <v>45562</v>
      </c>
      <c r="Q296" s="2" t="s">
        <v>2023</v>
      </c>
      <c r="R296" s="2" t="s">
        <v>109</v>
      </c>
      <c r="S296" s="2" t="s">
        <v>1052</v>
      </c>
      <c r="T296" s="2" t="s">
        <v>109</v>
      </c>
      <c r="U296" s="2" t="s">
        <v>116</v>
      </c>
      <c r="V296" s="2" t="s">
        <v>3022</v>
      </c>
      <c r="W296" s="2" t="b">
        <v>0</v>
      </c>
      <c r="X296" s="2" t="s">
        <v>109</v>
      </c>
      <c r="Y296" s="2" t="s">
        <v>4110</v>
      </c>
      <c r="AA296" s="2" t="s">
        <v>118</v>
      </c>
      <c r="AB296" s="51">
        <v>0.79</v>
      </c>
      <c r="AC296" s="2">
        <v>69</v>
      </c>
      <c r="AD296" s="2" t="s">
        <v>373</v>
      </c>
      <c r="AE296" s="2">
        <v>4.0999999999999996</v>
      </c>
      <c r="AF296" s="2" t="s">
        <v>4111</v>
      </c>
      <c r="AG296" s="3" t="s">
        <v>4112</v>
      </c>
      <c r="AH296" s="3" t="s">
        <v>4113</v>
      </c>
      <c r="AI296" s="2">
        <v>1</v>
      </c>
      <c r="AJ296" s="2" t="s">
        <v>4114</v>
      </c>
      <c r="AK296" s="2" t="s">
        <v>121</v>
      </c>
      <c r="AL296" s="2" t="s">
        <v>3027</v>
      </c>
      <c r="AM296" s="68" t="s">
        <v>4115</v>
      </c>
      <c r="AN296" s="2" t="s">
        <v>122</v>
      </c>
      <c r="AO296" s="2">
        <v>2020</v>
      </c>
      <c r="AP296" s="109" t="s">
        <v>109</v>
      </c>
      <c r="AQ296" s="2" t="b">
        <v>0</v>
      </c>
      <c r="AR296" s="2" t="s">
        <v>109</v>
      </c>
      <c r="AS296" s="2" t="s">
        <v>109</v>
      </c>
      <c r="AT296" s="2" t="s">
        <v>118</v>
      </c>
      <c r="AU296" s="2" t="b">
        <v>0</v>
      </c>
      <c r="AV296" s="2" t="s">
        <v>109</v>
      </c>
      <c r="AW296" s="2" t="s">
        <v>118</v>
      </c>
      <c r="AY296" s="2" t="s">
        <v>109</v>
      </c>
      <c r="AZ296" s="2" t="s">
        <v>109</v>
      </c>
      <c r="BA296" s="2" t="s">
        <v>118</v>
      </c>
      <c r="BB296" s="2" t="s">
        <v>118</v>
      </c>
      <c r="BC296" s="2" t="s">
        <v>135</v>
      </c>
      <c r="BD296" s="2" t="s">
        <v>109</v>
      </c>
      <c r="BE296" s="2" t="s">
        <v>109</v>
      </c>
      <c r="BF296" s="2" t="s">
        <v>109</v>
      </c>
      <c r="BG296" s="2" t="s">
        <v>126</v>
      </c>
      <c r="BH296" s="2" t="s">
        <v>109</v>
      </c>
      <c r="BI296" s="68" t="s">
        <v>416</v>
      </c>
      <c r="BJ296" s="68">
        <v>45230</v>
      </c>
      <c r="BK296" s="68">
        <v>45867</v>
      </c>
      <c r="BL296" s="98" t="s">
        <v>240</v>
      </c>
      <c r="BM296" s="2" t="s">
        <v>109</v>
      </c>
      <c r="BN296" s="7" t="b">
        <v>1</v>
      </c>
      <c r="BO296" s="85">
        <v>992.62079000000006</v>
      </c>
      <c r="BP296" s="2" t="s">
        <v>128</v>
      </c>
      <c r="CF296" s="2">
        <v>2025</v>
      </c>
      <c r="CS296" s="151" t="s">
        <v>337</v>
      </c>
      <c r="CU296" s="132" t="s">
        <v>3028</v>
      </c>
      <c r="CW296" s="2" t="s">
        <v>3161</v>
      </c>
      <c r="CX296" s="38"/>
    </row>
    <row r="297" spans="1:102" x14ac:dyDescent="0.3">
      <c r="A297" s="4">
        <v>338</v>
      </c>
      <c r="B297" s="44" t="s">
        <v>2028</v>
      </c>
      <c r="C297" s="53">
        <v>32.804000000000002</v>
      </c>
      <c r="D297" s="53">
        <v>-116.92100000000001</v>
      </c>
      <c r="E297" s="4" t="s">
        <v>2029</v>
      </c>
      <c r="F297" s="46" t="s">
        <v>2030</v>
      </c>
      <c r="G297" s="4" t="s">
        <v>166</v>
      </c>
      <c r="H297" s="4" t="s">
        <v>146</v>
      </c>
      <c r="I297" s="4" t="s">
        <v>113</v>
      </c>
      <c r="J297" s="4" t="s">
        <v>109</v>
      </c>
      <c r="K297" s="4" t="s">
        <v>114</v>
      </c>
      <c r="L297" s="4" t="s">
        <v>393</v>
      </c>
      <c r="M297" s="4" t="s">
        <v>109</v>
      </c>
      <c r="N297" s="4" t="s">
        <v>109</v>
      </c>
      <c r="O297" s="69">
        <v>45545</v>
      </c>
      <c r="Q297" s="4" t="s">
        <v>109</v>
      </c>
      <c r="R297" s="4" t="s">
        <v>109</v>
      </c>
      <c r="S297" s="4" t="s">
        <v>725</v>
      </c>
      <c r="T297" s="4" t="s">
        <v>109</v>
      </c>
      <c r="U297" s="4" t="s">
        <v>116</v>
      </c>
      <c r="V297" s="4" t="s">
        <v>3022</v>
      </c>
      <c r="W297" s="4" t="b">
        <v>0</v>
      </c>
      <c r="X297" s="4" t="s">
        <v>109</v>
      </c>
      <c r="Y297" s="4" t="s">
        <v>3128</v>
      </c>
      <c r="AA297" s="4" t="s">
        <v>109</v>
      </c>
      <c r="AB297" s="53">
        <v>1.38</v>
      </c>
      <c r="AC297" s="4" t="s">
        <v>1390</v>
      </c>
      <c r="AD297" s="4" t="s">
        <v>1554</v>
      </c>
      <c r="AE297" s="4">
        <v>4.0999999999999996</v>
      </c>
      <c r="AF297" s="4" t="s">
        <v>4116</v>
      </c>
      <c r="AG297" s="5" t="s">
        <v>4117</v>
      </c>
      <c r="AH297" s="5" t="s">
        <v>4118</v>
      </c>
      <c r="AI297" s="4">
        <v>1</v>
      </c>
      <c r="AJ297" s="4" t="s">
        <v>4119</v>
      </c>
      <c r="AK297" s="4" t="s">
        <v>121</v>
      </c>
      <c r="AL297" s="4" t="s">
        <v>3027</v>
      </c>
      <c r="AM297" s="69" t="s">
        <v>4120</v>
      </c>
      <c r="AN297" s="4" t="s">
        <v>122</v>
      </c>
      <c r="AO297" s="4">
        <v>2020</v>
      </c>
      <c r="AP297" s="217" t="s">
        <v>109</v>
      </c>
      <c r="AQ297" s="4" t="b">
        <v>0</v>
      </c>
      <c r="AR297" s="4" t="s">
        <v>109</v>
      </c>
      <c r="AS297" s="4" t="s">
        <v>109</v>
      </c>
      <c r="AT297" s="4" t="s">
        <v>118</v>
      </c>
      <c r="AU297" s="4" t="b">
        <v>0</v>
      </c>
      <c r="AV297" s="4" t="s">
        <v>109</v>
      </c>
      <c r="AW297" s="4" t="s">
        <v>118</v>
      </c>
      <c r="AY297" s="4" t="s">
        <v>109</v>
      </c>
      <c r="AZ297" s="4" t="s">
        <v>109</v>
      </c>
      <c r="BA297" s="4" t="s">
        <v>118</v>
      </c>
      <c r="BB297" s="4" t="s">
        <v>118</v>
      </c>
      <c r="BC297" s="4" t="s">
        <v>135</v>
      </c>
      <c r="BD297" s="4" t="s">
        <v>109</v>
      </c>
      <c r="BE297" s="4" t="s">
        <v>109</v>
      </c>
      <c r="BF297" s="4" t="s">
        <v>109</v>
      </c>
      <c r="BG297" s="4" t="s">
        <v>1146</v>
      </c>
      <c r="BH297" s="4" t="s">
        <v>109</v>
      </c>
      <c r="BI297" s="69">
        <v>45336</v>
      </c>
      <c r="BJ297" s="69">
        <v>47118</v>
      </c>
      <c r="BK297" s="69">
        <v>47045</v>
      </c>
      <c r="BL297" s="97" t="s">
        <v>109</v>
      </c>
      <c r="BM297" s="4" t="s">
        <v>109</v>
      </c>
      <c r="BN297" s="97" t="b">
        <v>0</v>
      </c>
      <c r="BO297" s="130">
        <v>4693.6589400000003</v>
      </c>
      <c r="BP297" s="4" t="s">
        <v>128</v>
      </c>
      <c r="CF297" s="4" t="s">
        <v>109</v>
      </c>
      <c r="CS297" s="143"/>
      <c r="CU297" s="216" t="s">
        <v>3028</v>
      </c>
      <c r="CW297" s="4" t="s">
        <v>4121</v>
      </c>
      <c r="CX297" s="39"/>
    </row>
    <row r="298" spans="1:102" x14ac:dyDescent="0.3">
      <c r="A298" s="2">
        <v>340</v>
      </c>
      <c r="B298" s="43" t="s">
        <v>2036</v>
      </c>
      <c r="C298" s="51">
        <v>32.729999999999997</v>
      </c>
      <c r="D298" s="51">
        <v>-117.17400000000001</v>
      </c>
      <c r="E298" s="2" t="s">
        <v>329</v>
      </c>
      <c r="F298" s="47" t="s">
        <v>2037</v>
      </c>
      <c r="G298" s="2" t="s">
        <v>111</v>
      </c>
      <c r="H298" s="2" t="s">
        <v>113</v>
      </c>
      <c r="I298" s="2" t="s">
        <v>275</v>
      </c>
      <c r="J298" s="2" t="s">
        <v>109</v>
      </c>
      <c r="K298" s="2" t="s">
        <v>114</v>
      </c>
      <c r="L298" s="2" t="s">
        <v>159</v>
      </c>
      <c r="M298" s="7" t="s">
        <v>194</v>
      </c>
      <c r="N298" s="2" t="s">
        <v>109</v>
      </c>
      <c r="O298" s="68">
        <v>45552</v>
      </c>
      <c r="Q298" s="77" t="s">
        <v>2038</v>
      </c>
      <c r="R298" s="67" t="s">
        <v>109</v>
      </c>
      <c r="S298" s="67" t="s">
        <v>109</v>
      </c>
      <c r="T298" s="67" t="s">
        <v>109</v>
      </c>
      <c r="U298" s="2" t="s">
        <v>116</v>
      </c>
      <c r="V298" s="2" t="s">
        <v>3022</v>
      </c>
      <c r="W298" s="2" t="b">
        <v>0</v>
      </c>
      <c r="X298" s="2" t="s">
        <v>109</v>
      </c>
      <c r="Y298" s="2" t="s">
        <v>685</v>
      </c>
      <c r="AA298" s="2" t="s">
        <v>118</v>
      </c>
      <c r="AB298" s="51">
        <v>0.3</v>
      </c>
      <c r="AC298" s="2">
        <v>69</v>
      </c>
      <c r="AD298" s="2" t="s">
        <v>2039</v>
      </c>
      <c r="AE298" s="2">
        <v>4.0999999999999996</v>
      </c>
      <c r="AF298" s="2" t="s">
        <v>4122</v>
      </c>
      <c r="AG298" s="3" t="s">
        <v>4123</v>
      </c>
      <c r="AH298" s="3" t="s">
        <v>4124</v>
      </c>
      <c r="AI298" s="2">
        <v>1</v>
      </c>
      <c r="AJ298" s="2" t="s">
        <v>4125</v>
      </c>
      <c r="AK298" s="2" t="s">
        <v>121</v>
      </c>
      <c r="AL298" s="2" t="s">
        <v>3027</v>
      </c>
      <c r="AM298" s="68">
        <v>43990</v>
      </c>
      <c r="AN298" s="2" t="s">
        <v>122</v>
      </c>
      <c r="AO298" s="2">
        <v>2020</v>
      </c>
      <c r="AP298" s="109" t="s">
        <v>109</v>
      </c>
      <c r="AQ298" s="2" t="b">
        <v>0</v>
      </c>
      <c r="AR298" s="2" t="s">
        <v>109</v>
      </c>
      <c r="AS298" s="2" t="s">
        <v>109</v>
      </c>
      <c r="AT298" s="2" t="s">
        <v>118</v>
      </c>
      <c r="AU298" s="2" t="b">
        <v>0</v>
      </c>
      <c r="AV298" s="2" t="s">
        <v>109</v>
      </c>
      <c r="AW298" s="2" t="s">
        <v>118</v>
      </c>
      <c r="AY298" s="2" t="s">
        <v>109</v>
      </c>
      <c r="AZ298" s="2" t="s">
        <v>109</v>
      </c>
      <c r="BA298" s="2" t="s">
        <v>118</v>
      </c>
      <c r="BB298" s="2" t="s">
        <v>118</v>
      </c>
      <c r="BC298" s="2" t="s">
        <v>135</v>
      </c>
      <c r="BD298" s="68" t="s">
        <v>109</v>
      </c>
      <c r="BE298" s="7" t="s">
        <v>109</v>
      </c>
      <c r="BF298" s="2" t="s">
        <v>118</v>
      </c>
      <c r="BG298" s="2" t="s">
        <v>150</v>
      </c>
      <c r="BH298" s="2" t="s">
        <v>109</v>
      </c>
      <c r="BI298" s="68">
        <v>44893</v>
      </c>
      <c r="BJ298" s="68">
        <v>45657</v>
      </c>
      <c r="BK298" s="68">
        <v>45555</v>
      </c>
      <c r="BL298" s="98" t="s">
        <v>459</v>
      </c>
      <c r="BM298" s="2" t="s">
        <v>521</v>
      </c>
      <c r="BN298" s="2" t="b">
        <v>1</v>
      </c>
      <c r="BO298" s="85">
        <v>6659.3356700000004</v>
      </c>
      <c r="BP298" s="2" t="s">
        <v>128</v>
      </c>
      <c r="CF298" s="2" t="s">
        <v>139</v>
      </c>
      <c r="CS298" s="142"/>
      <c r="CU298" s="132" t="s">
        <v>3028</v>
      </c>
      <c r="CW298" s="2" t="s">
        <v>4126</v>
      </c>
      <c r="CX298" s="220"/>
    </row>
    <row r="299" spans="1:102" x14ac:dyDescent="0.3">
      <c r="A299" s="4">
        <v>343</v>
      </c>
      <c r="B299" s="44" t="s">
        <v>2044</v>
      </c>
      <c r="C299" s="53">
        <v>32.957999999999998</v>
      </c>
      <c r="D299" s="53">
        <v>-117.10899999999999</v>
      </c>
      <c r="E299" s="4" t="s">
        <v>329</v>
      </c>
      <c r="F299" s="46" t="s">
        <v>2045</v>
      </c>
      <c r="G299" s="4" t="s">
        <v>166</v>
      </c>
      <c r="H299" s="4" t="s">
        <v>146</v>
      </c>
      <c r="I299" s="4" t="s">
        <v>113</v>
      </c>
      <c r="J299" s="4" t="s">
        <v>109</v>
      </c>
      <c r="K299" s="4" t="s">
        <v>114</v>
      </c>
      <c r="L299" s="4" t="s">
        <v>393</v>
      </c>
      <c r="M299" s="4" t="s">
        <v>109</v>
      </c>
      <c r="N299" s="4" t="s">
        <v>109</v>
      </c>
      <c r="O299" s="69">
        <v>45553</v>
      </c>
      <c r="Q299" s="4" t="s">
        <v>2046</v>
      </c>
      <c r="R299" s="4" t="s">
        <v>109</v>
      </c>
      <c r="S299" s="4" t="s">
        <v>725</v>
      </c>
      <c r="T299" s="4" t="s">
        <v>109</v>
      </c>
      <c r="U299" s="4" t="s">
        <v>116</v>
      </c>
      <c r="V299" s="4" t="s">
        <v>3022</v>
      </c>
      <c r="W299" s="4" t="b">
        <v>1</v>
      </c>
      <c r="X299" s="4" t="s">
        <v>109</v>
      </c>
      <c r="Y299" s="4" t="s">
        <v>3124</v>
      </c>
      <c r="AA299" s="4" t="s">
        <v>109</v>
      </c>
      <c r="AB299" s="53">
        <v>1.73</v>
      </c>
      <c r="AC299" s="4" t="s">
        <v>1390</v>
      </c>
      <c r="AD299" s="4" t="s">
        <v>1554</v>
      </c>
      <c r="AE299" s="4">
        <v>4.0999999999999996</v>
      </c>
      <c r="AF299" s="4" t="s">
        <v>4127</v>
      </c>
      <c r="AG299" s="5" t="s">
        <v>4128</v>
      </c>
      <c r="AH299" s="5" t="s">
        <v>4129</v>
      </c>
      <c r="AI299" s="4">
        <v>1</v>
      </c>
      <c r="AJ299" s="4" t="s">
        <v>4130</v>
      </c>
      <c r="AK299" s="4" t="s">
        <v>121</v>
      </c>
      <c r="AL299" s="4" t="s">
        <v>3027</v>
      </c>
      <c r="AM299" s="69">
        <v>44267</v>
      </c>
      <c r="AN299" s="4" t="s">
        <v>122</v>
      </c>
      <c r="AO299" s="4">
        <v>2020</v>
      </c>
      <c r="AP299" s="217" t="s">
        <v>109</v>
      </c>
      <c r="AQ299" s="4" t="b">
        <v>0</v>
      </c>
      <c r="AR299" s="4" t="s">
        <v>109</v>
      </c>
      <c r="AS299" s="4" t="s">
        <v>109</v>
      </c>
      <c r="AT299" s="4" t="s">
        <v>118</v>
      </c>
      <c r="AU299" s="4" t="b">
        <v>0</v>
      </c>
      <c r="AV299" s="4" t="s">
        <v>109</v>
      </c>
      <c r="AW299" s="4" t="s">
        <v>118</v>
      </c>
      <c r="AY299" s="4" t="s">
        <v>109</v>
      </c>
      <c r="AZ299" s="4" t="s">
        <v>109</v>
      </c>
      <c r="BA299" s="4" t="s">
        <v>118</v>
      </c>
      <c r="BB299" s="4" t="s">
        <v>118</v>
      </c>
      <c r="BC299" s="4" t="s">
        <v>135</v>
      </c>
      <c r="BD299" s="4" t="s">
        <v>109</v>
      </c>
      <c r="BE299" s="4" t="s">
        <v>109</v>
      </c>
      <c r="BF299" s="4" t="s">
        <v>109</v>
      </c>
      <c r="BG299" s="4" t="s">
        <v>296</v>
      </c>
      <c r="BH299" s="4" t="s">
        <v>109</v>
      </c>
      <c r="BI299" s="69">
        <v>42522</v>
      </c>
      <c r="BJ299" s="69">
        <v>46752</v>
      </c>
      <c r="BK299" s="69">
        <v>48213</v>
      </c>
      <c r="BL299" s="97" t="s">
        <v>109</v>
      </c>
      <c r="BM299" s="4" t="s">
        <v>109</v>
      </c>
      <c r="BN299" s="97" t="b">
        <v>0</v>
      </c>
      <c r="BO299" s="130">
        <v>3291.3584599999999</v>
      </c>
      <c r="BP299" s="4" t="s">
        <v>128</v>
      </c>
      <c r="CF299" s="4" t="s">
        <v>109</v>
      </c>
      <c r="CS299" s="143"/>
      <c r="CU299" s="216" t="s">
        <v>3028</v>
      </c>
      <c r="CW299" s="4" t="s">
        <v>4131</v>
      </c>
      <c r="CX299" s="39"/>
    </row>
    <row r="300" spans="1:102" x14ac:dyDescent="0.3">
      <c r="A300" s="2">
        <v>344</v>
      </c>
      <c r="B300" s="43" t="s">
        <v>2050</v>
      </c>
      <c r="C300" s="7" t="s">
        <v>109</v>
      </c>
      <c r="D300" s="2" t="s">
        <v>109</v>
      </c>
      <c r="E300" s="2" t="s">
        <v>1731</v>
      </c>
      <c r="F300" s="47" t="s">
        <v>2051</v>
      </c>
      <c r="G300" s="2" t="s">
        <v>233</v>
      </c>
      <c r="H300" s="2" t="s">
        <v>109</v>
      </c>
      <c r="I300" s="2" t="s">
        <v>109</v>
      </c>
      <c r="J300" s="2" t="s">
        <v>109</v>
      </c>
      <c r="K300" s="2" t="s">
        <v>662</v>
      </c>
      <c r="L300" s="2" t="s">
        <v>303</v>
      </c>
      <c r="M300" s="67" t="s">
        <v>194</v>
      </c>
      <c r="N300" s="2" t="s">
        <v>109</v>
      </c>
      <c r="O300" s="2" t="s">
        <v>109</v>
      </c>
      <c r="Q300" s="2">
        <v>60</v>
      </c>
      <c r="R300" s="2" t="s">
        <v>109</v>
      </c>
      <c r="S300" s="2" t="s">
        <v>109</v>
      </c>
      <c r="T300" s="2" t="s">
        <v>109</v>
      </c>
      <c r="U300" s="2" t="s">
        <v>285</v>
      </c>
      <c r="V300" s="2" t="s">
        <v>4027</v>
      </c>
      <c r="W300" s="2" t="b">
        <v>0</v>
      </c>
      <c r="X300" s="2" t="s">
        <v>109</v>
      </c>
      <c r="Y300" s="2" t="s">
        <v>2049</v>
      </c>
      <c r="AA300" s="2" t="s">
        <v>118</v>
      </c>
      <c r="AB300" s="2" t="s">
        <v>118</v>
      </c>
      <c r="AC300" s="2" t="s">
        <v>119</v>
      </c>
      <c r="AD300" s="2" t="s">
        <v>109</v>
      </c>
      <c r="AE300" s="2">
        <v>1.2</v>
      </c>
      <c r="AF300" s="2" t="s">
        <v>3030</v>
      </c>
      <c r="AG300" s="3" t="s">
        <v>4132</v>
      </c>
      <c r="AH300" s="3" t="s">
        <v>4133</v>
      </c>
      <c r="AI300" s="2">
        <v>1</v>
      </c>
      <c r="AJ300" s="2" t="s">
        <v>4134</v>
      </c>
      <c r="AK300" s="2" t="s">
        <v>121</v>
      </c>
      <c r="AL300" s="2" t="s">
        <v>3027</v>
      </c>
      <c r="AM300" s="68" t="s">
        <v>4120</v>
      </c>
      <c r="AN300" s="2" t="s">
        <v>122</v>
      </c>
      <c r="AO300" s="2" t="s">
        <v>109</v>
      </c>
      <c r="AP300" s="109" t="s">
        <v>109</v>
      </c>
      <c r="AQ300" s="2" t="b">
        <v>0</v>
      </c>
      <c r="AR300" s="2" t="s">
        <v>109</v>
      </c>
      <c r="AS300" s="2" t="s">
        <v>109</v>
      </c>
      <c r="AT300" s="2" t="s">
        <v>118</v>
      </c>
      <c r="AU300" s="2" t="b">
        <v>0</v>
      </c>
      <c r="AV300" s="2" t="s">
        <v>109</v>
      </c>
      <c r="AW300" s="2" t="s">
        <v>118</v>
      </c>
      <c r="AY300" s="2" t="s">
        <v>109</v>
      </c>
      <c r="AZ300" s="2" t="s">
        <v>109</v>
      </c>
      <c r="BA300" s="2" t="s">
        <v>118</v>
      </c>
      <c r="BB300" s="2" t="s">
        <v>118</v>
      </c>
      <c r="BC300" s="7" t="s">
        <v>109</v>
      </c>
      <c r="BD300" s="68" t="s">
        <v>109</v>
      </c>
      <c r="BE300" s="7" t="s">
        <v>125</v>
      </c>
      <c r="BF300" s="2" t="s">
        <v>118</v>
      </c>
      <c r="BG300" s="2" t="s">
        <v>699</v>
      </c>
      <c r="BH300" s="2" t="s">
        <v>109</v>
      </c>
      <c r="BI300" s="68" t="s">
        <v>4135</v>
      </c>
      <c r="BJ300" s="68">
        <v>45596</v>
      </c>
      <c r="BK300" s="68">
        <v>45859</v>
      </c>
      <c r="BL300" s="98" t="s">
        <v>109</v>
      </c>
      <c r="BM300" s="2" t="s">
        <v>109</v>
      </c>
      <c r="BN300" s="2" t="b">
        <v>1</v>
      </c>
      <c r="BO300" s="85" t="s">
        <v>118</v>
      </c>
      <c r="BP300" s="2" t="s">
        <v>128</v>
      </c>
      <c r="CF300" s="2" t="s">
        <v>139</v>
      </c>
      <c r="CS300" s="142"/>
      <c r="CU300" s="132" t="s">
        <v>3187</v>
      </c>
      <c r="CW300" s="2" t="s">
        <v>3029</v>
      </c>
      <c r="CX300" s="38"/>
    </row>
    <row r="301" spans="1:102" ht="105.6" x14ac:dyDescent="0.3">
      <c r="A301" s="4">
        <v>346</v>
      </c>
      <c r="B301" s="44" t="s">
        <v>2057</v>
      </c>
      <c r="C301" s="57" t="s">
        <v>109</v>
      </c>
      <c r="D301" s="4" t="s">
        <v>109</v>
      </c>
      <c r="E301" s="6" t="s">
        <v>109</v>
      </c>
      <c r="F301" s="46" t="s">
        <v>2058</v>
      </c>
      <c r="G301" s="4" t="s">
        <v>233</v>
      </c>
      <c r="H301" s="4" t="s">
        <v>146</v>
      </c>
      <c r="I301" s="4" t="s">
        <v>109</v>
      </c>
      <c r="J301" s="4" t="s">
        <v>109</v>
      </c>
      <c r="K301" s="4" t="s">
        <v>662</v>
      </c>
      <c r="L301" s="4" t="s">
        <v>896</v>
      </c>
      <c r="M301" s="4" t="s">
        <v>246</v>
      </c>
      <c r="N301" s="4" t="s">
        <v>109</v>
      </c>
      <c r="O301" s="4" t="s">
        <v>109</v>
      </c>
      <c r="Q301" s="4" t="s">
        <v>109</v>
      </c>
      <c r="R301" s="4" t="s">
        <v>109</v>
      </c>
      <c r="S301" s="4" t="s">
        <v>109</v>
      </c>
      <c r="T301" s="4" t="s">
        <v>109</v>
      </c>
      <c r="U301" s="4" t="s">
        <v>285</v>
      </c>
      <c r="V301" s="4" t="s">
        <v>918</v>
      </c>
      <c r="W301" s="4" t="b">
        <v>0</v>
      </c>
      <c r="X301" s="4" t="s">
        <v>109</v>
      </c>
      <c r="Y301" s="4" t="s">
        <v>2056</v>
      </c>
      <c r="AA301" s="4" t="s">
        <v>118</v>
      </c>
      <c r="AB301" s="4" t="s">
        <v>118</v>
      </c>
      <c r="AC301" s="4">
        <v>12</v>
      </c>
      <c r="AD301" s="4" t="s">
        <v>109</v>
      </c>
      <c r="AE301" s="4">
        <v>1.1000000000000001</v>
      </c>
      <c r="AF301" s="4" t="s">
        <v>3023</v>
      </c>
      <c r="AG301" s="5" t="s">
        <v>4136</v>
      </c>
      <c r="AH301" s="5" t="s">
        <v>3025</v>
      </c>
      <c r="AI301" s="4">
        <v>352</v>
      </c>
      <c r="AJ301" s="4" t="s">
        <v>4137</v>
      </c>
      <c r="AK301" s="4" t="s">
        <v>121</v>
      </c>
      <c r="AL301" s="4" t="s">
        <v>3027</v>
      </c>
      <c r="AM301" s="69">
        <v>45268</v>
      </c>
      <c r="AN301" s="4" t="s">
        <v>122</v>
      </c>
      <c r="AO301" s="4" t="s">
        <v>109</v>
      </c>
      <c r="AP301" s="217" t="s">
        <v>109</v>
      </c>
      <c r="AQ301" s="4" t="b">
        <v>0</v>
      </c>
      <c r="AR301" s="4" t="s">
        <v>109</v>
      </c>
      <c r="AS301" s="4" t="s">
        <v>109</v>
      </c>
      <c r="AT301" s="4" t="s">
        <v>118</v>
      </c>
      <c r="AU301" s="4" t="b">
        <v>0</v>
      </c>
      <c r="AV301" s="4" t="s">
        <v>109</v>
      </c>
      <c r="AW301" s="4" t="s">
        <v>118</v>
      </c>
      <c r="AY301" s="4" t="s">
        <v>124</v>
      </c>
      <c r="AZ301" s="4" t="s">
        <v>109</v>
      </c>
      <c r="BA301" s="4" t="s">
        <v>226</v>
      </c>
      <c r="BB301" s="4" t="s">
        <v>118</v>
      </c>
      <c r="BC301" s="4" t="s">
        <v>2060</v>
      </c>
      <c r="BD301" s="69" t="s">
        <v>109</v>
      </c>
      <c r="BE301" s="6" t="s">
        <v>109</v>
      </c>
      <c r="BF301" s="4" t="s">
        <v>109</v>
      </c>
      <c r="BG301" s="4" t="s">
        <v>863</v>
      </c>
      <c r="BH301" s="4" t="s">
        <v>109</v>
      </c>
      <c r="BI301" s="123" t="s">
        <v>109</v>
      </c>
      <c r="BJ301" s="75">
        <v>45657</v>
      </c>
      <c r="BK301" s="69" t="s">
        <v>109</v>
      </c>
      <c r="BL301" s="97" t="s">
        <v>109</v>
      </c>
      <c r="BM301" s="4" t="s">
        <v>109</v>
      </c>
      <c r="BN301" s="4" t="b">
        <v>1</v>
      </c>
      <c r="BO301" s="130" t="s">
        <v>118</v>
      </c>
      <c r="BP301" s="4" t="s">
        <v>128</v>
      </c>
      <c r="CF301" s="4" t="s">
        <v>129</v>
      </c>
      <c r="CS301" s="143" t="s">
        <v>2061</v>
      </c>
      <c r="CU301" s="216" t="s">
        <v>3060</v>
      </c>
      <c r="CW301" s="4" t="s">
        <v>3029</v>
      </c>
      <c r="CX301" s="39"/>
    </row>
    <row r="302" spans="1:102" ht="105.6" x14ac:dyDescent="0.3">
      <c r="A302" s="2">
        <v>347</v>
      </c>
      <c r="B302" s="43" t="s">
        <v>2062</v>
      </c>
      <c r="C302" s="52" t="s">
        <v>109</v>
      </c>
      <c r="D302" s="52" t="s">
        <v>109</v>
      </c>
      <c r="E302" s="52" t="s">
        <v>191</v>
      </c>
      <c r="F302" s="47" t="s">
        <v>2063</v>
      </c>
      <c r="G302" s="67" t="s">
        <v>233</v>
      </c>
      <c r="H302" s="67" t="s">
        <v>146</v>
      </c>
      <c r="I302" s="67" t="s">
        <v>109</v>
      </c>
      <c r="J302" s="67" t="s">
        <v>109</v>
      </c>
      <c r="K302" s="67" t="s">
        <v>662</v>
      </c>
      <c r="L302" s="67" t="s">
        <v>896</v>
      </c>
      <c r="M302" s="67" t="s">
        <v>246</v>
      </c>
      <c r="N302" s="67" t="s">
        <v>109</v>
      </c>
      <c r="O302" s="2" t="s">
        <v>109</v>
      </c>
      <c r="Q302" s="7" t="s">
        <v>109</v>
      </c>
      <c r="R302" s="67" t="s">
        <v>109</v>
      </c>
      <c r="S302" s="67" t="s">
        <v>109</v>
      </c>
      <c r="T302" s="67" t="s">
        <v>109</v>
      </c>
      <c r="U302" s="2" t="s">
        <v>285</v>
      </c>
      <c r="V302" s="2" t="s">
        <v>918</v>
      </c>
      <c r="W302" s="2" t="b">
        <v>0</v>
      </c>
      <c r="X302" s="2" t="s">
        <v>109</v>
      </c>
      <c r="Y302" s="2" t="s">
        <v>2056</v>
      </c>
      <c r="AA302" s="2" t="s">
        <v>118</v>
      </c>
      <c r="AB302" s="2" t="s">
        <v>118</v>
      </c>
      <c r="AC302" s="2" t="s">
        <v>2064</v>
      </c>
      <c r="AD302" s="2" t="s">
        <v>109</v>
      </c>
      <c r="AE302" s="2">
        <v>1.1000000000000001</v>
      </c>
      <c r="AF302" s="2" t="s">
        <v>3030</v>
      </c>
      <c r="AG302" s="3" t="s">
        <v>4136</v>
      </c>
      <c r="AH302" s="3" t="s">
        <v>4138</v>
      </c>
      <c r="AI302" s="2">
        <v>1</v>
      </c>
      <c r="AJ302" s="2" t="s">
        <v>4137</v>
      </c>
      <c r="AK302" s="2" t="s">
        <v>121</v>
      </c>
      <c r="AL302" s="2" t="s">
        <v>3027</v>
      </c>
      <c r="AM302" s="68">
        <v>43703</v>
      </c>
      <c r="AN302" s="2" t="s">
        <v>122</v>
      </c>
      <c r="AO302" s="2" t="s">
        <v>109</v>
      </c>
      <c r="AP302" s="109" t="s">
        <v>109</v>
      </c>
      <c r="AQ302" s="2" t="b">
        <v>0</v>
      </c>
      <c r="AR302" s="2" t="s">
        <v>109</v>
      </c>
      <c r="AS302" s="2" t="s">
        <v>109</v>
      </c>
      <c r="AT302" s="2" t="s">
        <v>109</v>
      </c>
      <c r="AU302" s="2" t="b">
        <v>0</v>
      </c>
      <c r="AV302" s="2" t="s">
        <v>109</v>
      </c>
      <c r="AW302" s="2" t="s">
        <v>109</v>
      </c>
      <c r="AY302" s="2" t="s">
        <v>109</v>
      </c>
      <c r="AZ302" s="2" t="s">
        <v>109</v>
      </c>
      <c r="BA302" s="2" t="s">
        <v>109</v>
      </c>
      <c r="BB302" s="2" t="s">
        <v>109</v>
      </c>
      <c r="BC302" s="7" t="s">
        <v>2060</v>
      </c>
      <c r="BD302" s="76" t="s">
        <v>109</v>
      </c>
      <c r="BE302" s="7" t="s">
        <v>109</v>
      </c>
      <c r="BF302" s="2" t="s">
        <v>109</v>
      </c>
      <c r="BG302" s="2" t="s">
        <v>863</v>
      </c>
      <c r="BH302" s="2" t="s">
        <v>109</v>
      </c>
      <c r="BI302" s="110" t="s">
        <v>759</v>
      </c>
      <c r="BJ302" s="76">
        <v>44196</v>
      </c>
      <c r="BK302" s="68">
        <v>45292</v>
      </c>
      <c r="BL302" s="98" t="s">
        <v>109</v>
      </c>
      <c r="BM302" s="98" t="s">
        <v>109</v>
      </c>
      <c r="BN302" s="98" t="b">
        <v>0</v>
      </c>
      <c r="BO302" s="85" t="s">
        <v>118</v>
      </c>
      <c r="BP302" s="2" t="s">
        <v>128</v>
      </c>
      <c r="CF302" s="2" t="s">
        <v>2264</v>
      </c>
      <c r="CS302" s="142" t="s">
        <v>2061</v>
      </c>
      <c r="CU302" s="132" t="s">
        <v>3060</v>
      </c>
      <c r="CW302" s="2" t="s">
        <v>3029</v>
      </c>
      <c r="CX302" s="38"/>
    </row>
    <row r="303" spans="1:102" ht="92.4" x14ac:dyDescent="0.3">
      <c r="A303" s="4">
        <v>348</v>
      </c>
      <c r="B303" s="44" t="s">
        <v>2066</v>
      </c>
      <c r="C303" s="57" t="s">
        <v>109</v>
      </c>
      <c r="D303" s="4" t="s">
        <v>109</v>
      </c>
      <c r="E303" s="6" t="s">
        <v>109</v>
      </c>
      <c r="F303" s="46" t="s">
        <v>2067</v>
      </c>
      <c r="G303" s="64" t="s">
        <v>233</v>
      </c>
      <c r="H303" s="64" t="s">
        <v>146</v>
      </c>
      <c r="I303" s="64" t="s">
        <v>109</v>
      </c>
      <c r="J303" s="64" t="s">
        <v>109</v>
      </c>
      <c r="K303" s="64" t="s">
        <v>662</v>
      </c>
      <c r="L303" s="64" t="s">
        <v>896</v>
      </c>
      <c r="M303" s="64" t="s">
        <v>246</v>
      </c>
      <c r="N303" s="64" t="s">
        <v>109</v>
      </c>
      <c r="O303" s="4" t="s">
        <v>109</v>
      </c>
      <c r="Q303" s="6" t="s">
        <v>109</v>
      </c>
      <c r="R303" s="64" t="s">
        <v>109</v>
      </c>
      <c r="S303" s="64" t="s">
        <v>109</v>
      </c>
      <c r="T303" s="64" t="s">
        <v>109</v>
      </c>
      <c r="U303" s="4" t="s">
        <v>285</v>
      </c>
      <c r="V303" s="4" t="s">
        <v>918</v>
      </c>
      <c r="W303" s="4" t="b">
        <v>0</v>
      </c>
      <c r="X303" s="4" t="s">
        <v>109</v>
      </c>
      <c r="Y303" s="4" t="s">
        <v>2056</v>
      </c>
      <c r="AA303" s="4" t="s">
        <v>118</v>
      </c>
      <c r="AB303" s="4" t="s">
        <v>118</v>
      </c>
      <c r="AC303" s="4" t="s">
        <v>119</v>
      </c>
      <c r="AD303" s="4" t="s">
        <v>109</v>
      </c>
      <c r="AE303" s="4">
        <v>1.2</v>
      </c>
      <c r="AF303" s="4" t="s">
        <v>3023</v>
      </c>
      <c r="AG303" s="5" t="s">
        <v>4139</v>
      </c>
      <c r="AH303" s="5" t="s">
        <v>3025</v>
      </c>
      <c r="AI303" s="4">
        <v>12</v>
      </c>
      <c r="AJ303" s="4" t="s">
        <v>4140</v>
      </c>
      <c r="AK303" s="4" t="s">
        <v>121</v>
      </c>
      <c r="AL303" s="4" t="s">
        <v>3027</v>
      </c>
      <c r="AM303" s="69">
        <v>45268</v>
      </c>
      <c r="AN303" s="4" t="s">
        <v>122</v>
      </c>
      <c r="AO303" s="4">
        <v>2021</v>
      </c>
      <c r="AP303" s="217" t="s">
        <v>109</v>
      </c>
      <c r="AQ303" s="4" t="b">
        <v>0</v>
      </c>
      <c r="AR303" s="4" t="s">
        <v>109</v>
      </c>
      <c r="AS303" s="4" t="s">
        <v>109</v>
      </c>
      <c r="AT303" s="4" t="s">
        <v>109</v>
      </c>
      <c r="AU303" s="4" t="b">
        <v>0</v>
      </c>
      <c r="AV303" s="4" t="s">
        <v>109</v>
      </c>
      <c r="AW303" s="4" t="s">
        <v>109</v>
      </c>
      <c r="AY303" s="4" t="s">
        <v>109</v>
      </c>
      <c r="AZ303" s="4" t="s">
        <v>109</v>
      </c>
      <c r="BA303" s="4" t="s">
        <v>109</v>
      </c>
      <c r="BB303" s="4" t="s">
        <v>109</v>
      </c>
      <c r="BC303" s="4" t="s">
        <v>135</v>
      </c>
      <c r="BD303" s="69" t="s">
        <v>109</v>
      </c>
      <c r="BE303" s="6" t="s">
        <v>109</v>
      </c>
      <c r="BF303" s="4" t="s">
        <v>109</v>
      </c>
      <c r="BG303" s="4" t="s">
        <v>863</v>
      </c>
      <c r="BH303" s="4" t="s">
        <v>109</v>
      </c>
      <c r="BI303" s="123" t="s">
        <v>109</v>
      </c>
      <c r="BJ303" s="75">
        <v>45657</v>
      </c>
      <c r="BK303" s="69" t="s">
        <v>109</v>
      </c>
      <c r="BL303" s="97" t="s">
        <v>109</v>
      </c>
      <c r="BM303" s="97" t="s">
        <v>109</v>
      </c>
      <c r="BN303" s="4" t="b">
        <v>1</v>
      </c>
      <c r="BO303" s="130" t="s">
        <v>118</v>
      </c>
      <c r="BP303" s="4" t="s">
        <v>128</v>
      </c>
      <c r="CF303" s="4" t="s">
        <v>129</v>
      </c>
      <c r="CS303" s="143" t="s">
        <v>2069</v>
      </c>
      <c r="CU303" s="216" t="s">
        <v>3060</v>
      </c>
      <c r="CW303" s="4" t="s">
        <v>3029</v>
      </c>
      <c r="CX303" s="39"/>
    </row>
    <row r="304" spans="1:102" ht="92.4" x14ac:dyDescent="0.3">
      <c r="A304" s="2">
        <v>349</v>
      </c>
      <c r="B304" s="43" t="s">
        <v>2070</v>
      </c>
      <c r="C304" s="52" t="s">
        <v>109</v>
      </c>
      <c r="D304" s="52" t="s">
        <v>109</v>
      </c>
      <c r="E304" s="52" t="s">
        <v>191</v>
      </c>
      <c r="F304" s="47" t="s">
        <v>2067</v>
      </c>
      <c r="G304" s="67" t="s">
        <v>233</v>
      </c>
      <c r="H304" s="67" t="s">
        <v>146</v>
      </c>
      <c r="I304" s="67" t="s">
        <v>109</v>
      </c>
      <c r="J304" s="67" t="s">
        <v>109</v>
      </c>
      <c r="K304" s="67" t="s">
        <v>662</v>
      </c>
      <c r="L304" s="67" t="s">
        <v>896</v>
      </c>
      <c r="M304" s="67" t="s">
        <v>246</v>
      </c>
      <c r="N304" s="67" t="s">
        <v>109</v>
      </c>
      <c r="O304" s="2" t="s">
        <v>109</v>
      </c>
      <c r="Q304" s="7" t="s">
        <v>109</v>
      </c>
      <c r="R304" s="67" t="s">
        <v>109</v>
      </c>
      <c r="S304" s="67" t="s">
        <v>109</v>
      </c>
      <c r="T304" s="67" t="s">
        <v>109</v>
      </c>
      <c r="U304" s="2" t="s">
        <v>285</v>
      </c>
      <c r="V304" s="2" t="s">
        <v>918</v>
      </c>
      <c r="W304" s="2" t="b">
        <v>0</v>
      </c>
      <c r="X304" s="2" t="s">
        <v>109</v>
      </c>
      <c r="Y304" s="2" t="s">
        <v>2056</v>
      </c>
      <c r="AA304" s="2" t="s">
        <v>118</v>
      </c>
      <c r="AB304" s="2" t="s">
        <v>118</v>
      </c>
      <c r="AC304" s="2">
        <v>12</v>
      </c>
      <c r="AD304" s="2" t="s">
        <v>109</v>
      </c>
      <c r="AE304" s="2">
        <v>1.2</v>
      </c>
      <c r="AF304" s="2" t="s">
        <v>3030</v>
      </c>
      <c r="AG304" s="3" t="s">
        <v>4139</v>
      </c>
      <c r="AH304" s="3" t="s">
        <v>4141</v>
      </c>
      <c r="AI304" s="2">
        <v>1</v>
      </c>
      <c r="AJ304" s="2" t="s">
        <v>4140</v>
      </c>
      <c r="AK304" s="2" t="s">
        <v>121</v>
      </c>
      <c r="AL304" s="2" t="s">
        <v>3027</v>
      </c>
      <c r="AM304" s="68">
        <v>44091</v>
      </c>
      <c r="AN304" s="2" t="s">
        <v>122</v>
      </c>
      <c r="AO304" s="2">
        <v>2021</v>
      </c>
      <c r="AP304" s="109" t="s">
        <v>109</v>
      </c>
      <c r="AQ304" s="2" t="b">
        <v>0</v>
      </c>
      <c r="AR304" s="2" t="s">
        <v>109</v>
      </c>
      <c r="AS304" s="2" t="s">
        <v>109</v>
      </c>
      <c r="AT304" s="2" t="s">
        <v>109</v>
      </c>
      <c r="AU304" s="2" t="b">
        <v>0</v>
      </c>
      <c r="AV304" s="2" t="s">
        <v>109</v>
      </c>
      <c r="AW304" s="2" t="s">
        <v>109</v>
      </c>
      <c r="AY304" s="2" t="s">
        <v>109</v>
      </c>
      <c r="AZ304" s="2" t="s">
        <v>109</v>
      </c>
      <c r="BA304" s="2" t="s">
        <v>109</v>
      </c>
      <c r="BB304" s="2" t="s">
        <v>109</v>
      </c>
      <c r="BC304" s="7" t="s">
        <v>2060</v>
      </c>
      <c r="BD304" s="76" t="s">
        <v>109</v>
      </c>
      <c r="BE304" s="7" t="s">
        <v>109</v>
      </c>
      <c r="BF304" s="2" t="s">
        <v>109</v>
      </c>
      <c r="BG304" s="2" t="s">
        <v>863</v>
      </c>
      <c r="BH304" s="2" t="s">
        <v>109</v>
      </c>
      <c r="BI304" s="110" t="s">
        <v>759</v>
      </c>
      <c r="BJ304" s="76">
        <v>46022</v>
      </c>
      <c r="BK304" s="68">
        <v>45292</v>
      </c>
      <c r="BL304" s="98" t="s">
        <v>109</v>
      </c>
      <c r="BM304" s="98" t="s">
        <v>109</v>
      </c>
      <c r="BN304" s="2" t="b">
        <v>1</v>
      </c>
      <c r="BO304" s="85" t="s">
        <v>118</v>
      </c>
      <c r="BP304" s="2" t="s">
        <v>128</v>
      </c>
      <c r="CF304" s="2" t="s">
        <v>528</v>
      </c>
      <c r="CS304" s="142" t="s">
        <v>4142</v>
      </c>
      <c r="CU304" s="132" t="s">
        <v>3060</v>
      </c>
      <c r="CW304" s="2" t="s">
        <v>3029</v>
      </c>
      <c r="CX304" s="38"/>
    </row>
    <row r="305" spans="1:102" x14ac:dyDescent="0.3">
      <c r="A305" s="4">
        <v>350</v>
      </c>
      <c r="B305" s="44" t="s">
        <v>2072</v>
      </c>
      <c r="C305" s="57" t="s">
        <v>109</v>
      </c>
      <c r="D305" s="4" t="s">
        <v>109</v>
      </c>
      <c r="E305" s="6" t="s">
        <v>109</v>
      </c>
      <c r="F305" s="46" t="s">
        <v>2073</v>
      </c>
      <c r="G305" s="4" t="s">
        <v>233</v>
      </c>
      <c r="H305" s="4" t="s">
        <v>146</v>
      </c>
      <c r="I305" s="4" t="s">
        <v>109</v>
      </c>
      <c r="J305" s="4" t="s">
        <v>109</v>
      </c>
      <c r="K305" s="4" t="s">
        <v>662</v>
      </c>
      <c r="L305" s="4" t="s">
        <v>303</v>
      </c>
      <c r="M305" s="4" t="s">
        <v>109</v>
      </c>
      <c r="N305" s="4" t="s">
        <v>109</v>
      </c>
      <c r="O305" s="4" t="s">
        <v>109</v>
      </c>
      <c r="Q305" s="4" t="s">
        <v>109</v>
      </c>
      <c r="R305" s="4" t="s">
        <v>109</v>
      </c>
      <c r="S305" s="4" t="s">
        <v>109</v>
      </c>
      <c r="T305" s="4" t="s">
        <v>109</v>
      </c>
      <c r="U305" s="4" t="s">
        <v>2074</v>
      </c>
      <c r="V305" s="4" t="s">
        <v>3201</v>
      </c>
      <c r="W305" s="4" t="b">
        <v>0</v>
      </c>
      <c r="X305" s="4" t="s">
        <v>109</v>
      </c>
      <c r="Y305" s="4" t="s">
        <v>2071</v>
      </c>
      <c r="AA305" s="4" t="s">
        <v>118</v>
      </c>
      <c r="AB305" s="4" t="s">
        <v>118</v>
      </c>
      <c r="AC305" s="4" t="s">
        <v>119</v>
      </c>
      <c r="AD305" s="4" t="s">
        <v>109</v>
      </c>
      <c r="AE305" s="4">
        <v>1.1000000000000001</v>
      </c>
      <c r="AF305" s="4" t="s">
        <v>3023</v>
      </c>
      <c r="AG305" s="5" t="s">
        <v>4143</v>
      </c>
      <c r="AH305" s="5" t="s">
        <v>3025</v>
      </c>
      <c r="AI305" s="4">
        <v>4</v>
      </c>
      <c r="AJ305" s="4" t="s">
        <v>4144</v>
      </c>
      <c r="AK305" s="4" t="s">
        <v>121</v>
      </c>
      <c r="AL305" s="4" t="s">
        <v>3027</v>
      </c>
      <c r="AM305" s="69">
        <v>45267</v>
      </c>
      <c r="AN305" s="4" t="s">
        <v>122</v>
      </c>
      <c r="AO305" s="4" t="s">
        <v>109</v>
      </c>
      <c r="AP305" s="217" t="s">
        <v>109</v>
      </c>
      <c r="AQ305" s="4" t="b">
        <v>0</v>
      </c>
      <c r="AR305" s="4" t="s">
        <v>109</v>
      </c>
      <c r="AS305" s="4" t="s">
        <v>109</v>
      </c>
      <c r="AT305" s="4" t="s">
        <v>118</v>
      </c>
      <c r="AU305" s="4" t="b">
        <v>0</v>
      </c>
      <c r="AV305" s="4" t="s">
        <v>109</v>
      </c>
      <c r="AW305" s="4" t="s">
        <v>118</v>
      </c>
      <c r="AY305" s="4" t="s">
        <v>109</v>
      </c>
      <c r="AZ305" s="4" t="s">
        <v>109</v>
      </c>
      <c r="BA305" s="4" t="s">
        <v>118</v>
      </c>
      <c r="BB305" s="4" t="s">
        <v>118</v>
      </c>
      <c r="BC305" s="4" t="s">
        <v>109</v>
      </c>
      <c r="BD305" s="69" t="s">
        <v>109</v>
      </c>
      <c r="BE305" s="6" t="s">
        <v>109</v>
      </c>
      <c r="BF305" s="4" t="s">
        <v>109</v>
      </c>
      <c r="BG305" s="4" t="s">
        <v>126</v>
      </c>
      <c r="BH305" s="4" t="s">
        <v>109</v>
      </c>
      <c r="BI305" s="69" t="s">
        <v>109</v>
      </c>
      <c r="BJ305" s="69">
        <v>45657</v>
      </c>
      <c r="BK305" s="69" t="s">
        <v>109</v>
      </c>
      <c r="BL305" s="97" t="s">
        <v>109</v>
      </c>
      <c r="BM305" s="4" t="s">
        <v>109</v>
      </c>
      <c r="BN305" s="4" t="b">
        <v>1</v>
      </c>
      <c r="BO305" s="130" t="s">
        <v>118</v>
      </c>
      <c r="BP305" s="4" t="s">
        <v>128</v>
      </c>
      <c r="CF305" s="4" t="s">
        <v>139</v>
      </c>
      <c r="CS305" s="144"/>
      <c r="CU305" s="216" t="s">
        <v>3060</v>
      </c>
      <c r="CW305" s="4" t="s">
        <v>3029</v>
      </c>
      <c r="CX305" s="39"/>
    </row>
    <row r="306" spans="1:102" ht="118.8" x14ac:dyDescent="0.3">
      <c r="A306" s="2">
        <v>351</v>
      </c>
      <c r="B306" s="43" t="s">
        <v>2077</v>
      </c>
      <c r="C306" s="52" t="s">
        <v>109</v>
      </c>
      <c r="D306" s="2" t="s">
        <v>109</v>
      </c>
      <c r="E306" s="2" t="s">
        <v>109</v>
      </c>
      <c r="F306" s="47" t="s">
        <v>2078</v>
      </c>
      <c r="G306" s="67" t="s">
        <v>233</v>
      </c>
      <c r="H306" s="67" t="s">
        <v>146</v>
      </c>
      <c r="I306" s="67" t="s">
        <v>146</v>
      </c>
      <c r="J306" s="67" t="s">
        <v>109</v>
      </c>
      <c r="K306" s="67" t="s">
        <v>662</v>
      </c>
      <c r="L306" s="67" t="s">
        <v>251</v>
      </c>
      <c r="M306" s="67" t="s">
        <v>246</v>
      </c>
      <c r="N306" s="67" t="s">
        <v>246</v>
      </c>
      <c r="O306" s="2" t="s">
        <v>109</v>
      </c>
      <c r="Q306" s="7" t="s">
        <v>109</v>
      </c>
      <c r="R306" s="67" t="s">
        <v>109</v>
      </c>
      <c r="S306" s="67" t="s">
        <v>109</v>
      </c>
      <c r="T306" s="67" t="s">
        <v>109</v>
      </c>
      <c r="U306" s="2" t="s">
        <v>2079</v>
      </c>
      <c r="V306" s="2" t="s">
        <v>918</v>
      </c>
      <c r="W306" s="2" t="b">
        <v>0</v>
      </c>
      <c r="X306" s="2" t="s">
        <v>109</v>
      </c>
      <c r="Y306" s="2" t="s">
        <v>2076</v>
      </c>
      <c r="AA306" s="2" t="s">
        <v>118</v>
      </c>
      <c r="AB306" s="2" t="s">
        <v>118</v>
      </c>
      <c r="AC306" s="2" t="s">
        <v>109</v>
      </c>
      <c r="AD306" s="2" t="s">
        <v>109</v>
      </c>
      <c r="AE306" s="2">
        <v>1.1000000000000001</v>
      </c>
      <c r="AF306" s="2" t="s">
        <v>3030</v>
      </c>
      <c r="AG306" s="3" t="s">
        <v>4143</v>
      </c>
      <c r="AH306" s="3" t="s">
        <v>4145</v>
      </c>
      <c r="AI306" s="2">
        <v>1</v>
      </c>
      <c r="AJ306" s="2" t="s">
        <v>4144</v>
      </c>
      <c r="AK306" s="2" t="s">
        <v>121</v>
      </c>
      <c r="AL306" s="2" t="s">
        <v>3027</v>
      </c>
      <c r="AM306" s="68">
        <v>43875</v>
      </c>
      <c r="AN306" s="2" t="s">
        <v>122</v>
      </c>
      <c r="AO306" s="2" t="s">
        <v>109</v>
      </c>
      <c r="AP306" s="109" t="s">
        <v>109</v>
      </c>
      <c r="AQ306" s="2" t="b">
        <v>0</v>
      </c>
      <c r="AR306" s="2" t="s">
        <v>109</v>
      </c>
      <c r="AS306" s="2" t="s">
        <v>109</v>
      </c>
      <c r="AT306" s="2" t="s">
        <v>109</v>
      </c>
      <c r="AU306" s="2" t="b">
        <v>0</v>
      </c>
      <c r="AV306" s="2" t="s">
        <v>109</v>
      </c>
      <c r="AW306" s="2" t="s">
        <v>109</v>
      </c>
      <c r="AY306" s="2" t="s">
        <v>109</v>
      </c>
      <c r="AZ306" s="2" t="s">
        <v>109</v>
      </c>
      <c r="BA306" s="2" t="s">
        <v>109</v>
      </c>
      <c r="BB306" s="2" t="s">
        <v>109</v>
      </c>
      <c r="BC306" s="7" t="s">
        <v>135</v>
      </c>
      <c r="BD306" s="76" t="s">
        <v>109</v>
      </c>
      <c r="BE306" s="7" t="s">
        <v>2892</v>
      </c>
      <c r="BF306" s="2" t="s">
        <v>109</v>
      </c>
      <c r="BG306" s="2" t="s">
        <v>322</v>
      </c>
      <c r="BH306" s="2" t="s">
        <v>109</v>
      </c>
      <c r="BI306" s="110" t="s">
        <v>109</v>
      </c>
      <c r="BJ306" s="76">
        <v>44196</v>
      </c>
      <c r="BK306" s="110" t="s">
        <v>109</v>
      </c>
      <c r="BL306" s="98" t="s">
        <v>109</v>
      </c>
      <c r="BM306" s="98" t="s">
        <v>109</v>
      </c>
      <c r="BN306" s="2" t="b">
        <v>1</v>
      </c>
      <c r="BO306" s="85" t="s">
        <v>118</v>
      </c>
      <c r="BP306" s="2" t="s">
        <v>128</v>
      </c>
      <c r="CF306" s="2" t="s">
        <v>196</v>
      </c>
      <c r="CS306" s="151" t="s">
        <v>2081</v>
      </c>
      <c r="CU306" s="132" t="s">
        <v>3060</v>
      </c>
      <c r="CW306" s="2" t="s">
        <v>3029</v>
      </c>
      <c r="CX306" s="38"/>
    </row>
    <row r="307" spans="1:102" x14ac:dyDescent="0.3">
      <c r="A307" s="4">
        <v>352</v>
      </c>
      <c r="B307" s="44" t="s">
        <v>4146</v>
      </c>
      <c r="C307" s="4">
        <v>-117.115128</v>
      </c>
      <c r="D307" s="61">
        <v>32.72486</v>
      </c>
      <c r="E307" s="4" t="s">
        <v>329</v>
      </c>
      <c r="F307" s="78" t="s">
        <v>2357</v>
      </c>
      <c r="G307" s="64" t="s">
        <v>661</v>
      </c>
      <c r="H307" s="64" t="s">
        <v>958</v>
      </c>
      <c r="I307" s="64" t="s">
        <v>109</v>
      </c>
      <c r="J307" s="64" t="s">
        <v>109</v>
      </c>
      <c r="K307" s="64" t="s">
        <v>134</v>
      </c>
      <c r="L307" s="4" t="s">
        <v>1158</v>
      </c>
      <c r="M307" s="64" t="s">
        <v>109</v>
      </c>
      <c r="N307" s="64" t="s">
        <v>109</v>
      </c>
      <c r="O307" s="66">
        <v>45314</v>
      </c>
      <c r="Q307" s="6">
        <v>60</v>
      </c>
      <c r="R307" s="64" t="s">
        <v>109</v>
      </c>
      <c r="S307" s="64" t="s">
        <v>109</v>
      </c>
      <c r="T307" s="64" t="s">
        <v>109</v>
      </c>
      <c r="U307" s="4" t="s">
        <v>116</v>
      </c>
      <c r="V307" s="4" t="s">
        <v>3022</v>
      </c>
      <c r="W307" s="4" t="b">
        <v>0</v>
      </c>
      <c r="X307" s="4" t="s">
        <v>123</v>
      </c>
      <c r="Y307" s="4" t="s">
        <v>954</v>
      </c>
      <c r="AA307" s="4">
        <v>0.37</v>
      </c>
      <c r="AB307" s="4" t="s">
        <v>118</v>
      </c>
      <c r="AC307" s="4">
        <v>69</v>
      </c>
      <c r="AD307" s="4" t="s">
        <v>109</v>
      </c>
      <c r="AE307" s="4">
        <v>1</v>
      </c>
      <c r="AF307" s="4" t="s">
        <v>4147</v>
      </c>
      <c r="AG307" s="5" t="s">
        <v>4148</v>
      </c>
      <c r="AH307" s="5" t="s">
        <v>4149</v>
      </c>
      <c r="AI307" s="4">
        <v>1</v>
      </c>
      <c r="AJ307" s="4" t="s">
        <v>4150</v>
      </c>
      <c r="AK307" s="4" t="s">
        <v>121</v>
      </c>
      <c r="AL307" s="4" t="s">
        <v>3027</v>
      </c>
      <c r="AM307" s="69" t="s">
        <v>4151</v>
      </c>
      <c r="AN307" s="4" t="s">
        <v>122</v>
      </c>
      <c r="AO307" s="4">
        <v>2022</v>
      </c>
      <c r="AP307" s="217" t="s">
        <v>109</v>
      </c>
      <c r="AQ307" s="4" t="b">
        <v>0</v>
      </c>
      <c r="AR307" s="4" t="s">
        <v>109</v>
      </c>
      <c r="AS307" s="4" t="s">
        <v>109</v>
      </c>
      <c r="AT307" s="4" t="s">
        <v>109</v>
      </c>
      <c r="AU307" s="4" t="b">
        <v>0</v>
      </c>
      <c r="AV307" s="4" t="s">
        <v>123</v>
      </c>
      <c r="AW307" s="4" t="s">
        <v>118</v>
      </c>
      <c r="AY307" s="4" t="s">
        <v>109</v>
      </c>
      <c r="AZ307" s="4" t="s">
        <v>109</v>
      </c>
      <c r="BA307" s="4" t="s">
        <v>226</v>
      </c>
      <c r="BB307" s="4" t="s">
        <v>118</v>
      </c>
      <c r="BC307" s="4" t="s">
        <v>135</v>
      </c>
      <c r="BD307" s="4" t="s">
        <v>109</v>
      </c>
      <c r="BE307" s="4" t="s">
        <v>125</v>
      </c>
      <c r="BF307" s="4">
        <v>2025</v>
      </c>
      <c r="BG307" s="4" t="s">
        <v>425</v>
      </c>
      <c r="BH307" s="4" t="s">
        <v>109</v>
      </c>
      <c r="BI307" s="69">
        <v>46266</v>
      </c>
      <c r="BJ307" s="69">
        <v>45838</v>
      </c>
      <c r="BK307" s="69">
        <v>46416</v>
      </c>
      <c r="BL307" s="97" t="s">
        <v>109</v>
      </c>
      <c r="BM307" s="4" t="s">
        <v>109</v>
      </c>
      <c r="BN307" s="6" t="b">
        <v>1</v>
      </c>
      <c r="BO307" s="130">
        <v>3267.6738799999998</v>
      </c>
      <c r="BP307" s="4" t="s">
        <v>128</v>
      </c>
      <c r="CF307" s="4">
        <v>2025</v>
      </c>
      <c r="CS307" s="144"/>
      <c r="CU307" s="216" t="s">
        <v>3187</v>
      </c>
      <c r="CW307" s="4" t="s">
        <v>3218</v>
      </c>
      <c r="CX307" s="221" t="s">
        <v>4152</v>
      </c>
    </row>
    <row r="308" spans="1:102" ht="27" x14ac:dyDescent="0.3">
      <c r="A308" s="2">
        <v>353</v>
      </c>
      <c r="B308" s="43" t="s">
        <v>2082</v>
      </c>
      <c r="C308" s="55" t="s">
        <v>109</v>
      </c>
      <c r="D308" s="2" t="s">
        <v>109</v>
      </c>
      <c r="E308" s="2" t="s">
        <v>410</v>
      </c>
      <c r="F308" s="47" t="s">
        <v>2083</v>
      </c>
      <c r="G308" s="67" t="s">
        <v>661</v>
      </c>
      <c r="H308" s="67" t="s">
        <v>146</v>
      </c>
      <c r="I308" s="67" t="s">
        <v>113</v>
      </c>
      <c r="J308" s="67" t="s">
        <v>109</v>
      </c>
      <c r="K308" s="67" t="s">
        <v>114</v>
      </c>
      <c r="L308" s="67" t="s">
        <v>663</v>
      </c>
      <c r="M308" s="67" t="s">
        <v>109</v>
      </c>
      <c r="N308" s="67" t="s">
        <v>109</v>
      </c>
      <c r="O308" s="2" t="s">
        <v>109</v>
      </c>
      <c r="Q308" s="67" t="s">
        <v>109</v>
      </c>
      <c r="R308" s="67" t="s">
        <v>109</v>
      </c>
      <c r="S308" s="67" t="s">
        <v>109</v>
      </c>
      <c r="T308" s="67" t="s">
        <v>109</v>
      </c>
      <c r="U308" s="2" t="s">
        <v>2084</v>
      </c>
      <c r="V308" s="2" t="s">
        <v>3386</v>
      </c>
      <c r="W308" s="2" t="b">
        <v>0</v>
      </c>
      <c r="X308" s="2" t="s">
        <v>224</v>
      </c>
      <c r="Y308" s="2" t="s">
        <v>701</v>
      </c>
      <c r="AA308" s="2" t="s">
        <v>118</v>
      </c>
      <c r="AB308" s="2" t="s">
        <v>118</v>
      </c>
      <c r="AC308" s="7" t="s">
        <v>119</v>
      </c>
      <c r="AD308" s="90" t="s">
        <v>109</v>
      </c>
      <c r="AE308" s="2">
        <v>1.2</v>
      </c>
      <c r="AF308" s="2" t="s">
        <v>3023</v>
      </c>
      <c r="AG308" s="3" t="s">
        <v>4153</v>
      </c>
      <c r="AH308" s="3" t="s">
        <v>3025</v>
      </c>
      <c r="AI308" s="2">
        <v>131</v>
      </c>
      <c r="AJ308" s="2" t="s">
        <v>4154</v>
      </c>
      <c r="AK308" s="2" t="s">
        <v>121</v>
      </c>
      <c r="AL308" s="2" t="s">
        <v>3027</v>
      </c>
      <c r="AM308" s="68">
        <v>45307</v>
      </c>
      <c r="AN308" s="2" t="s">
        <v>122</v>
      </c>
      <c r="AO308" s="2" t="s">
        <v>109</v>
      </c>
      <c r="AP308" s="109" t="s">
        <v>109</v>
      </c>
      <c r="AQ308" s="2" t="b">
        <v>0</v>
      </c>
      <c r="AR308" s="2" t="s">
        <v>109</v>
      </c>
      <c r="AS308" s="2" t="s">
        <v>109</v>
      </c>
      <c r="AT308" s="2" t="s">
        <v>109</v>
      </c>
      <c r="AU308" s="2" t="b">
        <v>0</v>
      </c>
      <c r="AV308" s="2" t="s">
        <v>123</v>
      </c>
      <c r="AW308" s="2" t="s">
        <v>118</v>
      </c>
      <c r="AY308" s="2" t="s">
        <v>109</v>
      </c>
      <c r="AZ308" s="2" t="s">
        <v>109</v>
      </c>
      <c r="BA308" s="2" t="s">
        <v>226</v>
      </c>
      <c r="BB308" s="2" t="s">
        <v>109</v>
      </c>
      <c r="BC308" s="2" t="s">
        <v>109</v>
      </c>
      <c r="BD308" s="2" t="s">
        <v>109</v>
      </c>
      <c r="BE308" s="2" t="s">
        <v>2892</v>
      </c>
      <c r="BF308" s="2" t="s">
        <v>109</v>
      </c>
      <c r="BG308" s="2" t="s">
        <v>126</v>
      </c>
      <c r="BH308" s="2" t="s">
        <v>109</v>
      </c>
      <c r="BI308" s="68" t="s">
        <v>109</v>
      </c>
      <c r="BJ308" s="68">
        <v>45657</v>
      </c>
      <c r="BK308" s="68" t="s">
        <v>109</v>
      </c>
      <c r="BL308" s="98" t="s">
        <v>109</v>
      </c>
      <c r="BM308" s="2" t="s">
        <v>109</v>
      </c>
      <c r="BN308" s="2" t="b">
        <v>1</v>
      </c>
      <c r="BO308" s="85" t="s">
        <v>118</v>
      </c>
      <c r="BP308" s="2" t="s">
        <v>128</v>
      </c>
      <c r="CF308" s="2" t="s">
        <v>129</v>
      </c>
      <c r="CS308" s="142" t="s">
        <v>2086</v>
      </c>
      <c r="CU308" s="132" t="s">
        <v>3187</v>
      </c>
      <c r="CW308" s="2" t="s">
        <v>3029</v>
      </c>
      <c r="CX308" s="220" t="s">
        <v>3910</v>
      </c>
    </row>
    <row r="309" spans="1:102" x14ac:dyDescent="0.3">
      <c r="A309" s="4">
        <v>354</v>
      </c>
      <c r="B309" s="44" t="s">
        <v>2087</v>
      </c>
      <c r="C309" s="56">
        <v>32.841999999999999</v>
      </c>
      <c r="D309" s="53">
        <v>-116.877</v>
      </c>
      <c r="E309" s="4" t="s">
        <v>191</v>
      </c>
      <c r="F309" s="46" t="s">
        <v>2088</v>
      </c>
      <c r="G309" s="64" t="s">
        <v>688</v>
      </c>
      <c r="H309" s="64" t="s">
        <v>146</v>
      </c>
      <c r="I309" s="64" t="s">
        <v>109</v>
      </c>
      <c r="J309" s="64" t="s">
        <v>109</v>
      </c>
      <c r="K309" s="64" t="s">
        <v>114</v>
      </c>
      <c r="L309" s="64" t="s">
        <v>705</v>
      </c>
      <c r="M309" s="64" t="s">
        <v>109</v>
      </c>
      <c r="N309" s="64" t="s">
        <v>109</v>
      </c>
      <c r="O309" s="66">
        <v>45514</v>
      </c>
      <c r="Q309" s="6" t="s">
        <v>109</v>
      </c>
      <c r="R309" s="64" t="s">
        <v>109</v>
      </c>
      <c r="S309" s="64" t="s">
        <v>109</v>
      </c>
      <c r="T309" s="64" t="s">
        <v>109</v>
      </c>
      <c r="U309" s="4" t="s">
        <v>404</v>
      </c>
      <c r="V309" s="4" t="s">
        <v>918</v>
      </c>
      <c r="W309" s="4" t="b">
        <v>0</v>
      </c>
      <c r="X309" s="4" t="s">
        <v>109</v>
      </c>
      <c r="Y309" s="4" t="s">
        <v>701</v>
      </c>
      <c r="AA309" s="4">
        <v>0.3</v>
      </c>
      <c r="AB309" s="4" t="s">
        <v>109</v>
      </c>
      <c r="AC309" s="4">
        <v>69</v>
      </c>
      <c r="AD309" s="91" t="s">
        <v>109</v>
      </c>
      <c r="AE309" s="4">
        <v>1.2</v>
      </c>
      <c r="AF309" s="4" t="s">
        <v>4155</v>
      </c>
      <c r="AG309" s="5" t="s">
        <v>4153</v>
      </c>
      <c r="AH309" s="5" t="s">
        <v>4156</v>
      </c>
      <c r="AI309" s="4">
        <v>1</v>
      </c>
      <c r="AJ309" s="4" t="s">
        <v>4154</v>
      </c>
      <c r="AK309" s="4" t="s">
        <v>121</v>
      </c>
      <c r="AL309" s="4" t="s">
        <v>3027</v>
      </c>
      <c r="AM309" s="69">
        <v>44048</v>
      </c>
      <c r="AN309" s="4" t="s">
        <v>122</v>
      </c>
      <c r="AO309" s="4" t="s">
        <v>109</v>
      </c>
      <c r="AP309" s="217" t="s">
        <v>109</v>
      </c>
      <c r="AQ309" s="4" t="b">
        <v>0</v>
      </c>
      <c r="AR309" s="4" t="s">
        <v>109</v>
      </c>
      <c r="AS309" s="4" t="s">
        <v>109</v>
      </c>
      <c r="AT309" s="4" t="s">
        <v>109</v>
      </c>
      <c r="AU309" s="4" t="b">
        <v>0</v>
      </c>
      <c r="AV309" s="4" t="s">
        <v>109</v>
      </c>
      <c r="AW309" s="4" t="s">
        <v>109</v>
      </c>
      <c r="AY309" s="4" t="s">
        <v>109</v>
      </c>
      <c r="AZ309" s="4" t="s">
        <v>109</v>
      </c>
      <c r="BA309" s="4" t="s">
        <v>109</v>
      </c>
      <c r="BB309" s="4" t="s">
        <v>109</v>
      </c>
      <c r="BC309" s="4" t="s">
        <v>135</v>
      </c>
      <c r="BD309" s="4" t="s">
        <v>109</v>
      </c>
      <c r="BE309" s="4" t="s">
        <v>109</v>
      </c>
      <c r="BF309" s="4" t="s">
        <v>109</v>
      </c>
      <c r="BG309" s="4" t="s">
        <v>425</v>
      </c>
      <c r="BH309" s="4" t="s">
        <v>109</v>
      </c>
      <c r="BI309" s="69">
        <v>45782</v>
      </c>
      <c r="BJ309" s="69">
        <v>45656</v>
      </c>
      <c r="BK309" s="69">
        <v>45810</v>
      </c>
      <c r="BL309" s="97" t="s">
        <v>109</v>
      </c>
      <c r="BM309" s="97" t="s">
        <v>109</v>
      </c>
      <c r="BN309" s="4" t="b">
        <v>1</v>
      </c>
      <c r="BO309" s="130" t="s">
        <v>118</v>
      </c>
      <c r="BP309" s="4" t="s">
        <v>128</v>
      </c>
      <c r="CF309" s="6" t="s">
        <v>528</v>
      </c>
      <c r="CS309" s="144"/>
      <c r="CU309" s="216" t="s">
        <v>3187</v>
      </c>
      <c r="CW309" s="4" t="s">
        <v>4157</v>
      </c>
      <c r="CX309" s="39"/>
    </row>
    <row r="310" spans="1:102" x14ac:dyDescent="0.3">
      <c r="A310" s="2">
        <v>355</v>
      </c>
      <c r="B310" s="43" t="s">
        <v>2094</v>
      </c>
      <c r="C310" s="55">
        <v>33.380000000000003</v>
      </c>
      <c r="D310" s="51">
        <v>-117.562</v>
      </c>
      <c r="E310" s="2" t="s">
        <v>761</v>
      </c>
      <c r="F310" s="47" t="s">
        <v>2095</v>
      </c>
      <c r="G310" s="67" t="s">
        <v>688</v>
      </c>
      <c r="H310" s="67" t="s">
        <v>146</v>
      </c>
      <c r="I310" s="67" t="s">
        <v>109</v>
      </c>
      <c r="J310" s="67" t="s">
        <v>109</v>
      </c>
      <c r="K310" s="67" t="s">
        <v>114</v>
      </c>
      <c r="L310" s="67" t="s">
        <v>705</v>
      </c>
      <c r="M310" s="67" t="s">
        <v>109</v>
      </c>
      <c r="N310" s="67" t="s">
        <v>109</v>
      </c>
      <c r="O310" s="74">
        <v>45332</v>
      </c>
      <c r="Q310" s="7" t="s">
        <v>109</v>
      </c>
      <c r="R310" s="67" t="s">
        <v>109</v>
      </c>
      <c r="S310" s="67" t="s">
        <v>109</v>
      </c>
      <c r="T310" s="67" t="s">
        <v>109</v>
      </c>
      <c r="U310" s="2" t="s">
        <v>404</v>
      </c>
      <c r="V310" s="2" t="s">
        <v>918</v>
      </c>
      <c r="W310" s="2" t="b">
        <v>0</v>
      </c>
      <c r="X310" s="2" t="s">
        <v>109</v>
      </c>
      <c r="Y310" s="2" t="s">
        <v>701</v>
      </c>
      <c r="AA310" s="2">
        <v>0.42</v>
      </c>
      <c r="AB310" s="2" t="s">
        <v>109</v>
      </c>
      <c r="AC310" s="2">
        <v>69</v>
      </c>
      <c r="AD310" s="90" t="s">
        <v>109</v>
      </c>
      <c r="AE310" s="2">
        <v>1.2</v>
      </c>
      <c r="AF310" s="2" t="s">
        <v>4158</v>
      </c>
      <c r="AG310" s="3" t="s">
        <v>4153</v>
      </c>
      <c r="AH310" s="3" t="s">
        <v>4159</v>
      </c>
      <c r="AI310" s="2">
        <v>1</v>
      </c>
      <c r="AJ310" s="2" t="s">
        <v>4154</v>
      </c>
      <c r="AK310" s="2" t="s">
        <v>121</v>
      </c>
      <c r="AL310" s="2" t="s">
        <v>3027</v>
      </c>
      <c r="AM310" s="68">
        <v>44048</v>
      </c>
      <c r="AN310" s="2" t="s">
        <v>122</v>
      </c>
      <c r="AO310" s="2" t="s">
        <v>109</v>
      </c>
      <c r="AP310" s="109" t="s">
        <v>109</v>
      </c>
      <c r="AQ310" s="2" t="b">
        <v>0</v>
      </c>
      <c r="AR310" s="2" t="s">
        <v>109</v>
      </c>
      <c r="AS310" s="2" t="s">
        <v>109</v>
      </c>
      <c r="AT310" s="2" t="s">
        <v>109</v>
      </c>
      <c r="AU310" s="2" t="b">
        <v>0</v>
      </c>
      <c r="AV310" s="2" t="s">
        <v>109</v>
      </c>
      <c r="AW310" s="2" t="s">
        <v>109</v>
      </c>
      <c r="AY310" s="2" t="s">
        <v>109</v>
      </c>
      <c r="AZ310" s="2" t="s">
        <v>109</v>
      </c>
      <c r="BA310" s="2" t="s">
        <v>109</v>
      </c>
      <c r="BB310" s="2" t="s">
        <v>109</v>
      </c>
      <c r="BC310" s="2" t="s">
        <v>135</v>
      </c>
      <c r="BD310" s="2" t="s">
        <v>109</v>
      </c>
      <c r="BE310" s="2" t="s">
        <v>109</v>
      </c>
      <c r="BF310" s="2" t="s">
        <v>109</v>
      </c>
      <c r="BG310" s="2" t="s">
        <v>126</v>
      </c>
      <c r="BH310" s="2" t="s">
        <v>109</v>
      </c>
      <c r="BI310" s="76">
        <v>45271</v>
      </c>
      <c r="BJ310" s="68">
        <v>45656</v>
      </c>
      <c r="BK310" s="68">
        <v>45276</v>
      </c>
      <c r="BL310" s="98" t="s">
        <v>109</v>
      </c>
      <c r="BM310" s="98" t="s">
        <v>109</v>
      </c>
      <c r="BN310" s="2" t="b">
        <v>1</v>
      </c>
      <c r="BO310" s="85" t="s">
        <v>118</v>
      </c>
      <c r="BP310" s="2" t="s">
        <v>128</v>
      </c>
      <c r="CF310" s="7" t="s">
        <v>174</v>
      </c>
      <c r="CS310" s="145"/>
      <c r="CU310" s="132" t="s">
        <v>3187</v>
      </c>
      <c r="CW310" s="2" t="s">
        <v>4160</v>
      </c>
      <c r="CX310" s="38"/>
    </row>
    <row r="311" spans="1:102" x14ac:dyDescent="0.3">
      <c r="A311" s="4">
        <v>356</v>
      </c>
      <c r="B311" s="44" t="s">
        <v>2100</v>
      </c>
      <c r="C311" s="56">
        <v>32.679000000000002</v>
      </c>
      <c r="D311" s="53">
        <v>-116.985</v>
      </c>
      <c r="E311" s="4" t="s">
        <v>191</v>
      </c>
      <c r="F311" s="46" t="s">
        <v>2101</v>
      </c>
      <c r="G311" s="64" t="s">
        <v>688</v>
      </c>
      <c r="H311" s="64" t="s">
        <v>146</v>
      </c>
      <c r="I311" s="64" t="s">
        <v>109</v>
      </c>
      <c r="J311" s="64" t="s">
        <v>109</v>
      </c>
      <c r="K311" s="64" t="s">
        <v>114</v>
      </c>
      <c r="L311" s="64" t="s">
        <v>705</v>
      </c>
      <c r="M311" s="64" t="s">
        <v>109</v>
      </c>
      <c r="N311" s="64" t="s">
        <v>109</v>
      </c>
      <c r="O311" s="66">
        <v>45344</v>
      </c>
      <c r="Q311" s="6" t="s">
        <v>109</v>
      </c>
      <c r="R311" s="64" t="s">
        <v>109</v>
      </c>
      <c r="S311" s="64" t="s">
        <v>109</v>
      </c>
      <c r="T311" s="64" t="s">
        <v>109</v>
      </c>
      <c r="U311" s="4" t="s">
        <v>404</v>
      </c>
      <c r="V311" s="4" t="s">
        <v>918</v>
      </c>
      <c r="W311" s="4" t="b">
        <v>0</v>
      </c>
      <c r="X311" s="4" t="s">
        <v>109</v>
      </c>
      <c r="Y311" s="4" t="s">
        <v>701</v>
      </c>
      <c r="AA311" s="4">
        <v>0.1</v>
      </c>
      <c r="AB311" s="4" t="s">
        <v>109</v>
      </c>
      <c r="AC311" s="4">
        <v>69</v>
      </c>
      <c r="AD311" s="91" t="s">
        <v>109</v>
      </c>
      <c r="AE311" s="4">
        <v>1.2</v>
      </c>
      <c r="AF311" s="4" t="s">
        <v>4161</v>
      </c>
      <c r="AG311" s="5" t="s">
        <v>4153</v>
      </c>
      <c r="AH311" s="5" t="s">
        <v>4162</v>
      </c>
      <c r="AI311" s="4">
        <v>1</v>
      </c>
      <c r="AJ311" s="4" t="s">
        <v>4154</v>
      </c>
      <c r="AK311" s="4" t="s">
        <v>121</v>
      </c>
      <c r="AL311" s="4" t="s">
        <v>3027</v>
      </c>
      <c r="AM311" s="69">
        <v>44293</v>
      </c>
      <c r="AN311" s="4" t="s">
        <v>122</v>
      </c>
      <c r="AO311" s="4" t="s">
        <v>109</v>
      </c>
      <c r="AP311" s="217" t="s">
        <v>109</v>
      </c>
      <c r="AQ311" s="4" t="b">
        <v>0</v>
      </c>
      <c r="AR311" s="4" t="s">
        <v>109</v>
      </c>
      <c r="AS311" s="4" t="s">
        <v>109</v>
      </c>
      <c r="AT311" s="4" t="s">
        <v>109</v>
      </c>
      <c r="AU311" s="4" t="b">
        <v>0</v>
      </c>
      <c r="AV311" s="4" t="s">
        <v>109</v>
      </c>
      <c r="AW311" s="4" t="s">
        <v>109</v>
      </c>
      <c r="AY311" s="4" t="s">
        <v>109</v>
      </c>
      <c r="AZ311" s="4" t="s">
        <v>109</v>
      </c>
      <c r="BA311" s="4" t="s">
        <v>109</v>
      </c>
      <c r="BB311" s="4" t="s">
        <v>109</v>
      </c>
      <c r="BC311" s="4" t="s">
        <v>135</v>
      </c>
      <c r="BD311" s="4" t="s">
        <v>2105</v>
      </c>
      <c r="BE311" s="4" t="s">
        <v>494</v>
      </c>
      <c r="BF311" s="4">
        <v>2023</v>
      </c>
      <c r="BG311" s="4" t="s">
        <v>699</v>
      </c>
      <c r="BH311" s="4" t="s">
        <v>109</v>
      </c>
      <c r="BI311" s="69">
        <v>45855</v>
      </c>
      <c r="BJ311" s="69">
        <v>46022</v>
      </c>
      <c r="BK311" s="69">
        <v>46155</v>
      </c>
      <c r="BL311" s="97" t="s">
        <v>109</v>
      </c>
      <c r="BM311" s="97" t="s">
        <v>109</v>
      </c>
      <c r="BN311" s="4" t="b">
        <v>1</v>
      </c>
      <c r="BO311" s="130" t="s">
        <v>118</v>
      </c>
      <c r="BP311" s="4" t="s">
        <v>128</v>
      </c>
      <c r="CF311" s="6" t="s">
        <v>174</v>
      </c>
      <c r="CS311" s="144"/>
      <c r="CU311" s="216" t="s">
        <v>3187</v>
      </c>
      <c r="CW311" s="4" t="s">
        <v>3238</v>
      </c>
      <c r="CX311" s="39"/>
    </row>
    <row r="312" spans="1:102" ht="39.6" x14ac:dyDescent="0.3">
      <c r="A312" s="2">
        <v>357</v>
      </c>
      <c r="B312" s="43" t="s">
        <v>2107</v>
      </c>
      <c r="C312" s="55">
        <v>32.5105</v>
      </c>
      <c r="D312" s="51">
        <v>116.53464</v>
      </c>
      <c r="E312" s="2" t="s">
        <v>2108</v>
      </c>
      <c r="F312" s="47" t="s">
        <v>2109</v>
      </c>
      <c r="G312" s="67" t="s">
        <v>1947</v>
      </c>
      <c r="H312" s="79" t="s">
        <v>112</v>
      </c>
      <c r="I312" s="67" t="s">
        <v>109</v>
      </c>
      <c r="J312" s="67" t="s">
        <v>109</v>
      </c>
      <c r="K312" s="67" t="s">
        <v>2110</v>
      </c>
      <c r="L312" s="79" t="s">
        <v>207</v>
      </c>
      <c r="M312" s="67" t="s">
        <v>109</v>
      </c>
      <c r="N312" s="67" t="s">
        <v>109</v>
      </c>
      <c r="O312" s="74">
        <v>45421.5</v>
      </c>
      <c r="Q312" s="7" t="s">
        <v>109</v>
      </c>
      <c r="R312" s="67" t="s">
        <v>109</v>
      </c>
      <c r="S312" s="67" t="s">
        <v>109</v>
      </c>
      <c r="T312" s="67" t="s">
        <v>109</v>
      </c>
      <c r="U312" s="2" t="s">
        <v>404</v>
      </c>
      <c r="V312" s="2" t="s">
        <v>117</v>
      </c>
      <c r="W312" s="2" t="b">
        <v>0</v>
      </c>
      <c r="X312" s="2" t="s">
        <v>109</v>
      </c>
      <c r="Y312" s="2" t="s">
        <v>701</v>
      </c>
      <c r="AA312" s="2" t="s">
        <v>109</v>
      </c>
      <c r="AB312" s="2" t="s">
        <v>109</v>
      </c>
      <c r="AC312" s="2" t="s">
        <v>109</v>
      </c>
      <c r="AD312" s="90" t="s">
        <v>109</v>
      </c>
      <c r="AE312" s="2">
        <v>1.2</v>
      </c>
      <c r="AF312" s="2" t="s">
        <v>3023</v>
      </c>
      <c r="AG312" s="3" t="s">
        <v>4153</v>
      </c>
      <c r="AH312" s="3" t="s">
        <v>4163</v>
      </c>
      <c r="AI312" s="2">
        <v>10</v>
      </c>
      <c r="AJ312" s="2" t="s">
        <v>4154</v>
      </c>
      <c r="AK312" s="2" t="s">
        <v>121</v>
      </c>
      <c r="AL312" s="2" t="s">
        <v>3027</v>
      </c>
      <c r="AM312" s="68">
        <v>43579</v>
      </c>
      <c r="AN312" s="2" t="s">
        <v>122</v>
      </c>
      <c r="AO312" s="2" t="s">
        <v>109</v>
      </c>
      <c r="AP312" s="109" t="s">
        <v>109</v>
      </c>
      <c r="AQ312" s="2" t="b">
        <v>0</v>
      </c>
      <c r="AR312" s="2" t="s">
        <v>109</v>
      </c>
      <c r="AS312" s="2" t="s">
        <v>109</v>
      </c>
      <c r="AT312" s="2" t="s">
        <v>109</v>
      </c>
      <c r="AU312" s="2" t="b">
        <v>0</v>
      </c>
      <c r="AV312" s="2" t="s">
        <v>109</v>
      </c>
      <c r="AW312" s="2" t="s">
        <v>109</v>
      </c>
      <c r="AY312" s="2" t="s">
        <v>109</v>
      </c>
      <c r="AZ312" s="2" t="s">
        <v>109</v>
      </c>
      <c r="BA312" s="2" t="s">
        <v>109</v>
      </c>
      <c r="BB312" s="2" t="s">
        <v>109</v>
      </c>
      <c r="BC312" s="2" t="s">
        <v>109</v>
      </c>
      <c r="BD312" s="2" t="s">
        <v>109</v>
      </c>
      <c r="BE312" s="2" t="s">
        <v>109</v>
      </c>
      <c r="BF312" s="2" t="s">
        <v>109</v>
      </c>
      <c r="BG312" s="2" t="s">
        <v>126</v>
      </c>
      <c r="BH312" s="2" t="s">
        <v>109</v>
      </c>
      <c r="BI312" s="68" t="s">
        <v>109</v>
      </c>
      <c r="BJ312" s="68">
        <v>43830</v>
      </c>
      <c r="BK312" s="68">
        <v>43924</v>
      </c>
      <c r="BL312" s="98" t="s">
        <v>109</v>
      </c>
      <c r="BM312" s="98" t="s">
        <v>109</v>
      </c>
      <c r="BN312" s="98" t="b">
        <v>0</v>
      </c>
      <c r="BO312" s="85" t="s">
        <v>118</v>
      </c>
      <c r="BP312" s="2" t="s">
        <v>128</v>
      </c>
      <c r="CF312" s="7" t="s">
        <v>189</v>
      </c>
      <c r="CS312" s="142" t="s">
        <v>2111</v>
      </c>
      <c r="CU312" s="132" t="s">
        <v>3187</v>
      </c>
      <c r="CW312" s="2" t="s">
        <v>4164</v>
      </c>
      <c r="CX312" s="38"/>
    </row>
    <row r="313" spans="1:102" ht="27" x14ac:dyDescent="0.3">
      <c r="A313" s="4">
        <v>358</v>
      </c>
      <c r="B313" s="44" t="s">
        <v>2112</v>
      </c>
      <c r="C313" s="56">
        <v>-116.985</v>
      </c>
      <c r="D313" s="4">
        <v>32.679000000000002</v>
      </c>
      <c r="E313" s="4" t="s">
        <v>191</v>
      </c>
      <c r="F313" s="46" t="s">
        <v>2113</v>
      </c>
      <c r="G313" s="64" t="s">
        <v>688</v>
      </c>
      <c r="H313" s="64" t="s">
        <v>146</v>
      </c>
      <c r="I313" s="64" t="s">
        <v>109</v>
      </c>
      <c r="J313" s="64" t="s">
        <v>109</v>
      </c>
      <c r="K313" s="64" t="s">
        <v>114</v>
      </c>
      <c r="L313" s="64" t="s">
        <v>705</v>
      </c>
      <c r="M313" s="64" t="s">
        <v>109</v>
      </c>
      <c r="N313" s="64" t="s">
        <v>109</v>
      </c>
      <c r="O313" s="66">
        <v>45594</v>
      </c>
      <c r="Q313" s="6" t="s">
        <v>109</v>
      </c>
      <c r="R313" s="64" t="s">
        <v>109</v>
      </c>
      <c r="S313" s="64" t="s">
        <v>109</v>
      </c>
      <c r="T313" s="64" t="s">
        <v>109</v>
      </c>
      <c r="U313" s="4" t="s">
        <v>404</v>
      </c>
      <c r="V313" s="4" t="s">
        <v>3386</v>
      </c>
      <c r="W313" s="4" t="b">
        <v>0</v>
      </c>
      <c r="X313" s="4" t="s">
        <v>123</v>
      </c>
      <c r="Y313" s="4" t="s">
        <v>701</v>
      </c>
      <c r="AA313" s="4">
        <v>0.1</v>
      </c>
      <c r="AB313" s="4" t="s">
        <v>109</v>
      </c>
      <c r="AC313" s="91" t="s">
        <v>215</v>
      </c>
      <c r="AD313" s="91" t="s">
        <v>109</v>
      </c>
      <c r="AE313" s="4">
        <v>1.2</v>
      </c>
      <c r="AF313" s="4" t="s">
        <v>4165</v>
      </c>
      <c r="AG313" s="5" t="s">
        <v>4153</v>
      </c>
      <c r="AH313" s="5" t="s">
        <v>4166</v>
      </c>
      <c r="AI313" s="4">
        <v>1</v>
      </c>
      <c r="AJ313" s="4" t="s">
        <v>4154</v>
      </c>
      <c r="AK313" s="4" t="s">
        <v>121</v>
      </c>
      <c r="AL313" s="4" t="s">
        <v>3027</v>
      </c>
      <c r="AM313" s="69">
        <v>44292</v>
      </c>
      <c r="AN313" s="4" t="s">
        <v>122</v>
      </c>
      <c r="AO313" s="4">
        <v>2022</v>
      </c>
      <c r="AP313" s="217" t="s">
        <v>109</v>
      </c>
      <c r="AQ313" s="4" t="b">
        <v>0</v>
      </c>
      <c r="AR313" s="4" t="s">
        <v>109</v>
      </c>
      <c r="AS313" s="4" t="s">
        <v>109</v>
      </c>
      <c r="AT313" s="4" t="s">
        <v>109</v>
      </c>
      <c r="AU313" s="4" t="b">
        <v>0</v>
      </c>
      <c r="AV313" s="4" t="s">
        <v>123</v>
      </c>
      <c r="AW313" s="4" t="s">
        <v>118</v>
      </c>
      <c r="AY313" s="4" t="s">
        <v>109</v>
      </c>
      <c r="AZ313" s="4" t="s">
        <v>109</v>
      </c>
      <c r="BA313" s="4" t="s">
        <v>226</v>
      </c>
      <c r="BB313" s="4" t="s">
        <v>118</v>
      </c>
      <c r="BC313" s="4" t="s">
        <v>135</v>
      </c>
      <c r="BD313" s="4" t="s">
        <v>2116</v>
      </c>
      <c r="BE313" s="4" t="s">
        <v>494</v>
      </c>
      <c r="BF313" s="4">
        <v>2023</v>
      </c>
      <c r="BG313" s="4" t="s">
        <v>425</v>
      </c>
      <c r="BH313" s="4" t="s">
        <v>109</v>
      </c>
      <c r="BI313" s="69">
        <v>45785</v>
      </c>
      <c r="BJ313" s="69">
        <v>46022</v>
      </c>
      <c r="BK313" s="69">
        <v>46220</v>
      </c>
      <c r="BL313" s="97" t="s">
        <v>109</v>
      </c>
      <c r="BM313" s="4" t="s">
        <v>109</v>
      </c>
      <c r="BN313" s="4" t="b">
        <v>1</v>
      </c>
      <c r="BO313" s="130" t="s">
        <v>118</v>
      </c>
      <c r="BP313" s="4" t="s">
        <v>128</v>
      </c>
      <c r="CF313" s="6" t="s">
        <v>2295</v>
      </c>
      <c r="CS313" s="144"/>
      <c r="CU313" s="216" t="s">
        <v>3187</v>
      </c>
      <c r="CW313" s="4" t="s">
        <v>3708</v>
      </c>
      <c r="CX313" s="221" t="s">
        <v>3910</v>
      </c>
    </row>
    <row r="314" spans="1:102" x14ac:dyDescent="0.3">
      <c r="A314" s="2">
        <v>359</v>
      </c>
      <c r="B314" s="109" t="s">
        <v>4167</v>
      </c>
      <c r="C314" s="55"/>
      <c r="D314" s="2"/>
      <c r="E314" s="2"/>
      <c r="F314" s="47"/>
      <c r="G314" s="67"/>
      <c r="H314" s="67"/>
      <c r="I314" s="67"/>
      <c r="J314" s="67"/>
      <c r="K314" s="67"/>
      <c r="L314" s="67"/>
      <c r="M314" s="67"/>
      <c r="N314" s="67"/>
      <c r="O314" s="67"/>
      <c r="Q314" s="67"/>
      <c r="R314" s="67"/>
      <c r="S314" s="67"/>
      <c r="T314" s="67"/>
      <c r="U314" s="86"/>
      <c r="V314" s="2"/>
      <c r="W314" s="2"/>
      <c r="X314" s="2"/>
      <c r="Y314" s="2" t="s">
        <v>701</v>
      </c>
      <c r="AA314" s="2"/>
      <c r="AB314" s="2"/>
      <c r="AC314" s="2"/>
      <c r="AD314" s="90"/>
      <c r="AE314" s="2"/>
      <c r="AF314" s="2" t="s">
        <v>4158</v>
      </c>
      <c r="AG314" s="3" t="s">
        <v>4153</v>
      </c>
      <c r="AH314" s="3" t="s">
        <v>4168</v>
      </c>
      <c r="AI314" s="2"/>
      <c r="AJ314" s="2" t="s">
        <v>4154</v>
      </c>
      <c r="AK314" s="2"/>
      <c r="AL314" s="2" t="s">
        <v>3053</v>
      </c>
      <c r="AM314" s="68"/>
      <c r="AN314" s="90"/>
      <c r="AO314" s="2"/>
      <c r="AP314" s="109"/>
      <c r="AQ314" s="2"/>
      <c r="AR314" s="2"/>
      <c r="AS314" s="2"/>
      <c r="AT314" s="2"/>
      <c r="AU314" s="90"/>
      <c r="AV314" s="2"/>
      <c r="AW314" s="2"/>
      <c r="AY314" s="2"/>
      <c r="AZ314" s="2"/>
      <c r="BA314" s="2"/>
      <c r="BB314" s="2"/>
      <c r="BC314" s="2" t="s">
        <v>135</v>
      </c>
      <c r="BD314" s="2"/>
      <c r="BE314" s="2"/>
      <c r="BF314" s="2"/>
      <c r="BG314" s="2"/>
      <c r="BH314" s="2"/>
      <c r="BI314" s="68">
        <v>45271</v>
      </c>
      <c r="BJ314" s="68"/>
      <c r="BK314" s="68">
        <v>45276</v>
      </c>
      <c r="BL314" s="98"/>
      <c r="BM314" s="2"/>
      <c r="BN314" s="2"/>
      <c r="BO314" s="90"/>
      <c r="BP314" s="2"/>
      <c r="CF314" s="2"/>
      <c r="CS314" s="146"/>
      <c r="CU314" s="132" t="s">
        <v>3187</v>
      </c>
      <c r="CW314" s="2" t="s">
        <v>3054</v>
      </c>
      <c r="CX314" s="38"/>
    </row>
    <row r="315" spans="1:102" x14ac:dyDescent="0.3">
      <c r="A315" s="4">
        <v>360</v>
      </c>
      <c r="B315" s="217" t="s">
        <v>4169</v>
      </c>
      <c r="C315" s="56"/>
      <c r="D315" s="4"/>
      <c r="E315" s="4"/>
      <c r="F315" s="46"/>
      <c r="G315" s="64"/>
      <c r="H315" s="64"/>
      <c r="I315" s="64"/>
      <c r="J315" s="64"/>
      <c r="K315" s="64"/>
      <c r="L315" s="64"/>
      <c r="M315" s="64"/>
      <c r="N315" s="64"/>
      <c r="O315" s="64"/>
      <c r="Q315" s="64"/>
      <c r="R315" s="64"/>
      <c r="S315" s="64"/>
      <c r="T315" s="64"/>
      <c r="U315" s="87"/>
      <c r="V315" s="4"/>
      <c r="W315" s="4"/>
      <c r="X315" s="4"/>
      <c r="Y315" s="4" t="s">
        <v>701</v>
      </c>
      <c r="AA315" s="4"/>
      <c r="AB315" s="4"/>
      <c r="AC315" s="4"/>
      <c r="AD315" s="91"/>
      <c r="AE315" s="4"/>
      <c r="AF315" s="4" t="s">
        <v>4170</v>
      </c>
      <c r="AG315" s="5" t="s">
        <v>4153</v>
      </c>
      <c r="AH315" s="5" t="s">
        <v>4171</v>
      </c>
      <c r="AI315" s="4"/>
      <c r="AJ315" s="4" t="s">
        <v>4154</v>
      </c>
      <c r="AK315" s="4"/>
      <c r="AL315" s="4" t="s">
        <v>3053</v>
      </c>
      <c r="AM315" s="69"/>
      <c r="AN315" s="91"/>
      <c r="AO315" s="4"/>
      <c r="AP315" s="217"/>
      <c r="AQ315" s="4"/>
      <c r="AR315" s="4"/>
      <c r="AS315" s="4"/>
      <c r="AT315" s="4"/>
      <c r="AU315" s="91"/>
      <c r="AV315" s="4"/>
      <c r="AW315" s="4"/>
      <c r="AY315" s="4"/>
      <c r="AZ315" s="4"/>
      <c r="BA315" s="4"/>
      <c r="BB315" s="4"/>
      <c r="BC315" s="4" t="s">
        <v>135</v>
      </c>
      <c r="BD315" s="4"/>
      <c r="BE315" s="4"/>
      <c r="BF315" s="4"/>
      <c r="BG315" s="4"/>
      <c r="BH315" s="4"/>
      <c r="BI315" s="69"/>
      <c r="BJ315" s="69"/>
      <c r="BK315" s="69"/>
      <c r="BL315" s="97"/>
      <c r="BM315" s="4"/>
      <c r="BN315" s="4"/>
      <c r="BO315" s="91"/>
      <c r="BP315" s="4"/>
      <c r="CF315" s="4"/>
      <c r="CS315" s="147"/>
      <c r="CU315" s="216" t="s">
        <v>3187</v>
      </c>
      <c r="CW315" s="4" t="s">
        <v>4172</v>
      </c>
      <c r="CX315" s="39"/>
    </row>
    <row r="316" spans="1:102" x14ac:dyDescent="0.3">
      <c r="A316" s="2">
        <v>361</v>
      </c>
      <c r="B316" s="109" t="s">
        <v>4173</v>
      </c>
      <c r="C316" s="55"/>
      <c r="D316" s="2"/>
      <c r="E316" s="2"/>
      <c r="F316" s="47"/>
      <c r="G316" s="67"/>
      <c r="H316" s="67"/>
      <c r="I316" s="67"/>
      <c r="J316" s="67"/>
      <c r="K316" s="67"/>
      <c r="L316" s="67"/>
      <c r="M316" s="67"/>
      <c r="N316" s="67"/>
      <c r="O316" s="67"/>
      <c r="Q316" s="67"/>
      <c r="R316" s="67"/>
      <c r="S316" s="67"/>
      <c r="T316" s="67"/>
      <c r="U316" s="86"/>
      <c r="V316" s="2"/>
      <c r="W316" s="2"/>
      <c r="X316" s="2"/>
      <c r="Y316" s="2" t="s">
        <v>701</v>
      </c>
      <c r="AA316" s="2"/>
      <c r="AB316" s="2"/>
      <c r="AC316" s="2"/>
      <c r="AD316" s="90"/>
      <c r="AE316" s="2"/>
      <c r="AF316" s="2" t="s">
        <v>4174</v>
      </c>
      <c r="AG316" s="3" t="s">
        <v>4153</v>
      </c>
      <c r="AH316" s="3" t="s">
        <v>4175</v>
      </c>
      <c r="AI316" s="2"/>
      <c r="AJ316" s="2" t="s">
        <v>4154</v>
      </c>
      <c r="AK316" s="2"/>
      <c r="AL316" s="2" t="s">
        <v>3053</v>
      </c>
      <c r="AM316" s="68"/>
      <c r="AN316" s="90"/>
      <c r="AO316" s="2"/>
      <c r="AP316" s="109"/>
      <c r="AQ316" s="2"/>
      <c r="AR316" s="2"/>
      <c r="AS316" s="2"/>
      <c r="AT316" s="2"/>
      <c r="AU316" s="90"/>
      <c r="AV316" s="2"/>
      <c r="AW316" s="2"/>
      <c r="AY316" s="2"/>
      <c r="AZ316" s="2"/>
      <c r="BA316" s="2"/>
      <c r="BB316" s="2"/>
      <c r="BC316" s="2" t="s">
        <v>135</v>
      </c>
      <c r="BD316" s="2"/>
      <c r="BE316" s="2"/>
      <c r="BF316" s="2"/>
      <c r="BG316" s="2"/>
      <c r="BH316" s="2"/>
      <c r="BI316" s="68">
        <v>45418</v>
      </c>
      <c r="BJ316" s="68"/>
      <c r="BK316" s="68">
        <v>45687</v>
      </c>
      <c r="BL316" s="98"/>
      <c r="BM316" s="2"/>
      <c r="BN316" s="2"/>
      <c r="BO316" s="90"/>
      <c r="BP316" s="2"/>
      <c r="CF316" s="2"/>
      <c r="CS316" s="146"/>
      <c r="CU316" s="132" t="s">
        <v>3187</v>
      </c>
      <c r="CW316" s="2" t="s">
        <v>3054</v>
      </c>
      <c r="CX316" s="38"/>
    </row>
    <row r="317" spans="1:102" x14ac:dyDescent="0.3">
      <c r="A317" s="4">
        <v>362</v>
      </c>
      <c r="B317" s="44" t="s">
        <v>2129</v>
      </c>
      <c r="C317" s="56" t="s">
        <v>109</v>
      </c>
      <c r="D317" s="4" t="s">
        <v>109</v>
      </c>
      <c r="E317" s="4" t="s">
        <v>109</v>
      </c>
      <c r="F317" s="46" t="s">
        <v>2130</v>
      </c>
      <c r="G317" s="64" t="s">
        <v>661</v>
      </c>
      <c r="H317" s="64" t="s">
        <v>146</v>
      </c>
      <c r="I317" s="64" t="s">
        <v>113</v>
      </c>
      <c r="J317" s="64" t="s">
        <v>109</v>
      </c>
      <c r="K317" s="64" t="s">
        <v>114</v>
      </c>
      <c r="L317" s="64" t="s">
        <v>663</v>
      </c>
      <c r="M317" s="64" t="s">
        <v>109</v>
      </c>
      <c r="N317" s="64" t="s">
        <v>109</v>
      </c>
      <c r="O317" s="4" t="s">
        <v>109</v>
      </c>
      <c r="Q317" s="6" t="s">
        <v>109</v>
      </c>
      <c r="R317" s="64" t="s">
        <v>109</v>
      </c>
      <c r="S317" s="64" t="s">
        <v>109</v>
      </c>
      <c r="T317" s="64" t="s">
        <v>109</v>
      </c>
      <c r="U317" s="4" t="s">
        <v>116</v>
      </c>
      <c r="V317" s="4" t="s">
        <v>3022</v>
      </c>
      <c r="W317" s="4" t="b">
        <v>0</v>
      </c>
      <c r="X317" s="4" t="s">
        <v>109</v>
      </c>
      <c r="Y317" s="4" t="s">
        <v>701</v>
      </c>
      <c r="AA317" s="4" t="s">
        <v>118</v>
      </c>
      <c r="AB317" s="4" t="s">
        <v>118</v>
      </c>
      <c r="AC317" s="4" t="s">
        <v>109</v>
      </c>
      <c r="AD317" s="91" t="s">
        <v>109</v>
      </c>
      <c r="AE317" s="4">
        <v>4.0999999999999996</v>
      </c>
      <c r="AF317" s="4" t="s">
        <v>3023</v>
      </c>
      <c r="AG317" s="5" t="s">
        <v>4176</v>
      </c>
      <c r="AH317" s="5" t="s">
        <v>3025</v>
      </c>
      <c r="AI317" s="4">
        <v>179</v>
      </c>
      <c r="AJ317" s="4" t="s">
        <v>4177</v>
      </c>
      <c r="AK317" s="4" t="s">
        <v>121</v>
      </c>
      <c r="AL317" s="4" t="s">
        <v>3027</v>
      </c>
      <c r="AM317" s="69">
        <v>45257</v>
      </c>
      <c r="AN317" s="4" t="s">
        <v>122</v>
      </c>
      <c r="AO317" s="4" t="s">
        <v>109</v>
      </c>
      <c r="AP317" s="217" t="s">
        <v>109</v>
      </c>
      <c r="AQ317" s="4" t="b">
        <v>0</v>
      </c>
      <c r="AR317" s="4" t="s">
        <v>109</v>
      </c>
      <c r="AS317" s="4" t="s">
        <v>109</v>
      </c>
      <c r="AT317" s="4" t="s">
        <v>118</v>
      </c>
      <c r="AU317" s="4" t="b">
        <v>0</v>
      </c>
      <c r="AV317" s="4" t="s">
        <v>109</v>
      </c>
      <c r="AW317" s="4" t="s">
        <v>118</v>
      </c>
      <c r="AY317" s="4" t="s">
        <v>109</v>
      </c>
      <c r="AZ317" s="4" t="s">
        <v>109</v>
      </c>
      <c r="BA317" s="4" t="s">
        <v>118</v>
      </c>
      <c r="BB317" s="4" t="s">
        <v>118</v>
      </c>
      <c r="BC317" s="4" t="s">
        <v>109</v>
      </c>
      <c r="BD317" s="69" t="s">
        <v>109</v>
      </c>
      <c r="BE317" s="4" t="s">
        <v>109</v>
      </c>
      <c r="BF317" s="4" t="s">
        <v>109</v>
      </c>
      <c r="BG317" s="4" t="s">
        <v>126</v>
      </c>
      <c r="BH317" s="4" t="s">
        <v>109</v>
      </c>
      <c r="BI317" s="69" t="s">
        <v>109</v>
      </c>
      <c r="BJ317" s="69">
        <v>45657</v>
      </c>
      <c r="BK317" s="69" t="s">
        <v>109</v>
      </c>
      <c r="BL317" s="97" t="s">
        <v>109</v>
      </c>
      <c r="BM317" s="4" t="s">
        <v>109</v>
      </c>
      <c r="BN317" s="4" t="b">
        <v>1</v>
      </c>
      <c r="BO317" s="130" t="s">
        <v>118</v>
      </c>
      <c r="BP317" s="4" t="s">
        <v>128</v>
      </c>
      <c r="CF317" s="4" t="s">
        <v>129</v>
      </c>
      <c r="CS317" s="144"/>
      <c r="CU317" s="216" t="s">
        <v>3187</v>
      </c>
      <c r="CW317" s="4" t="s">
        <v>3029</v>
      </c>
      <c r="CX317" s="39"/>
    </row>
    <row r="318" spans="1:102" ht="39.6" x14ac:dyDescent="0.3">
      <c r="A318" s="2">
        <v>363</v>
      </c>
      <c r="B318" s="43" t="s">
        <v>2132</v>
      </c>
      <c r="C318" s="55">
        <v>33.187510000000003</v>
      </c>
      <c r="D318" s="51">
        <v>-117.279276</v>
      </c>
      <c r="E318" s="2" t="s">
        <v>2133</v>
      </c>
      <c r="F318" s="47" t="s">
        <v>2134</v>
      </c>
      <c r="G318" s="67" t="s">
        <v>688</v>
      </c>
      <c r="H318" s="67" t="s">
        <v>146</v>
      </c>
      <c r="I318" s="67" t="s">
        <v>109</v>
      </c>
      <c r="J318" s="67">
        <v>2988970</v>
      </c>
      <c r="K318" s="67" t="s">
        <v>114</v>
      </c>
      <c r="L318" s="67" t="s">
        <v>705</v>
      </c>
      <c r="M318" s="67" t="s">
        <v>109</v>
      </c>
      <c r="N318" s="67" t="s">
        <v>109</v>
      </c>
      <c r="O318" s="74">
        <v>45436</v>
      </c>
      <c r="Q318" s="7" t="s">
        <v>109</v>
      </c>
      <c r="R318" s="67" t="s">
        <v>109</v>
      </c>
      <c r="S318" s="67" t="s">
        <v>109</v>
      </c>
      <c r="T318" s="67" t="s">
        <v>109</v>
      </c>
      <c r="U318" s="2" t="s">
        <v>116</v>
      </c>
      <c r="V318" s="2" t="s">
        <v>117</v>
      </c>
      <c r="W318" s="2" t="b">
        <v>0</v>
      </c>
      <c r="X318" s="2" t="s">
        <v>109</v>
      </c>
      <c r="Y318" s="2" t="s">
        <v>701</v>
      </c>
      <c r="AA318" s="2">
        <v>0.5</v>
      </c>
      <c r="AB318" s="2" t="s">
        <v>109</v>
      </c>
      <c r="AC318" s="2">
        <v>69</v>
      </c>
      <c r="AD318" s="90" t="s">
        <v>109</v>
      </c>
      <c r="AE318" s="2">
        <v>4.0999999999999996</v>
      </c>
      <c r="AF318" s="2" t="s">
        <v>3023</v>
      </c>
      <c r="AG318" s="3" t="s">
        <v>4176</v>
      </c>
      <c r="AH318" s="3" t="s">
        <v>4178</v>
      </c>
      <c r="AI318" s="2">
        <v>2</v>
      </c>
      <c r="AJ318" s="2" t="s">
        <v>4177</v>
      </c>
      <c r="AK318" s="2" t="s">
        <v>121</v>
      </c>
      <c r="AL318" s="2" t="s">
        <v>3027</v>
      </c>
      <c r="AM318" s="68">
        <v>44176</v>
      </c>
      <c r="AN318" s="2" t="s">
        <v>122</v>
      </c>
      <c r="AO318" s="2" t="s">
        <v>109</v>
      </c>
      <c r="AP318" s="109" t="s">
        <v>109</v>
      </c>
      <c r="AQ318" s="2" t="b">
        <v>0</v>
      </c>
      <c r="AR318" s="2" t="s">
        <v>109</v>
      </c>
      <c r="AS318" s="2" t="s">
        <v>109</v>
      </c>
      <c r="AT318" s="2" t="s">
        <v>109</v>
      </c>
      <c r="AU318" s="2" t="b">
        <v>0</v>
      </c>
      <c r="AV318" s="2" t="s">
        <v>109</v>
      </c>
      <c r="AW318" s="2" t="s">
        <v>109</v>
      </c>
      <c r="AY318" s="2" t="s">
        <v>109</v>
      </c>
      <c r="AZ318" s="2" t="s">
        <v>109</v>
      </c>
      <c r="BA318" s="2" t="s">
        <v>109</v>
      </c>
      <c r="BB318" s="2" t="s">
        <v>109</v>
      </c>
      <c r="BC318" s="2" t="s">
        <v>135</v>
      </c>
      <c r="BD318" s="2" t="s">
        <v>109</v>
      </c>
      <c r="BE318" s="2" t="s">
        <v>109</v>
      </c>
      <c r="BF318" s="2" t="s">
        <v>109</v>
      </c>
      <c r="BG318" s="2" t="s">
        <v>126</v>
      </c>
      <c r="BH318" s="2" t="s">
        <v>109</v>
      </c>
      <c r="BI318" s="68">
        <v>44010</v>
      </c>
      <c r="BJ318" s="68">
        <v>44926</v>
      </c>
      <c r="BK318" s="68" t="s">
        <v>1620</v>
      </c>
      <c r="BL318" s="98" t="s">
        <v>109</v>
      </c>
      <c r="BM318" s="98" t="s">
        <v>109</v>
      </c>
      <c r="BN318" s="98" t="b">
        <v>0</v>
      </c>
      <c r="BO318" s="85" t="s">
        <v>118</v>
      </c>
      <c r="BP318" s="2" t="s">
        <v>128</v>
      </c>
      <c r="CF318" s="7" t="s">
        <v>2364</v>
      </c>
      <c r="CS318" s="142" t="s">
        <v>4179</v>
      </c>
      <c r="CU318" s="132" t="s">
        <v>3187</v>
      </c>
      <c r="CW318" s="2" t="s">
        <v>3935</v>
      </c>
      <c r="CX318" s="38"/>
    </row>
    <row r="319" spans="1:102" ht="27" x14ac:dyDescent="0.3">
      <c r="A319" s="4">
        <v>364</v>
      </c>
      <c r="B319" s="44" t="s">
        <v>2136</v>
      </c>
      <c r="C319" s="56">
        <v>-117.199</v>
      </c>
      <c r="D319" s="4">
        <v>32.761000000000003</v>
      </c>
      <c r="E319" s="4" t="s">
        <v>410</v>
      </c>
      <c r="F319" s="46" t="s">
        <v>2137</v>
      </c>
      <c r="G319" s="64" t="s">
        <v>688</v>
      </c>
      <c r="H319" s="64" t="s">
        <v>146</v>
      </c>
      <c r="I319" s="64" t="s">
        <v>109</v>
      </c>
      <c r="J319" s="64" t="s">
        <v>109</v>
      </c>
      <c r="K319" s="64" t="s">
        <v>114</v>
      </c>
      <c r="L319" s="64" t="s">
        <v>2138</v>
      </c>
      <c r="M319" s="64" t="s">
        <v>109</v>
      </c>
      <c r="N319" s="64" t="s">
        <v>109</v>
      </c>
      <c r="O319" s="66" t="s">
        <v>4180</v>
      </c>
      <c r="Q319" s="6" t="s">
        <v>109</v>
      </c>
      <c r="R319" s="64" t="s">
        <v>109</v>
      </c>
      <c r="S319" s="64" t="s">
        <v>109</v>
      </c>
      <c r="T319" s="64" t="s">
        <v>109</v>
      </c>
      <c r="U319" s="4" t="s">
        <v>116</v>
      </c>
      <c r="V319" s="4" t="s">
        <v>3158</v>
      </c>
      <c r="W319" s="4" t="b">
        <v>0</v>
      </c>
      <c r="X319" s="4" t="s">
        <v>123</v>
      </c>
      <c r="Y319" s="4" t="s">
        <v>701</v>
      </c>
      <c r="AA319" s="4">
        <v>0.1</v>
      </c>
      <c r="AB319" s="4" t="s">
        <v>109</v>
      </c>
      <c r="AC319" s="91" t="s">
        <v>215</v>
      </c>
      <c r="AD319" s="91" t="s">
        <v>109</v>
      </c>
      <c r="AE319" s="4">
        <v>4.0999999999999996</v>
      </c>
      <c r="AF319" s="4" t="s">
        <v>4181</v>
      </c>
      <c r="AG319" s="5" t="s">
        <v>4176</v>
      </c>
      <c r="AH319" s="5" t="s">
        <v>4182</v>
      </c>
      <c r="AI319" s="4">
        <v>1</v>
      </c>
      <c r="AJ319" s="4" t="s">
        <v>4177</v>
      </c>
      <c r="AK319" s="4" t="s">
        <v>121</v>
      </c>
      <c r="AL319" s="4" t="s">
        <v>3027</v>
      </c>
      <c r="AM319" s="69">
        <v>44774</v>
      </c>
      <c r="AN319" s="4" t="s">
        <v>122</v>
      </c>
      <c r="AO319" s="4">
        <v>2023</v>
      </c>
      <c r="AP319" s="217" t="s">
        <v>109</v>
      </c>
      <c r="AQ319" s="4" t="b">
        <v>0</v>
      </c>
      <c r="AR319" s="4" t="s">
        <v>109</v>
      </c>
      <c r="AS319" s="4" t="s">
        <v>109</v>
      </c>
      <c r="AT319" s="4" t="s">
        <v>109</v>
      </c>
      <c r="AU319" s="4" t="b">
        <v>0</v>
      </c>
      <c r="AV319" s="4" t="s">
        <v>123</v>
      </c>
      <c r="AW319" s="4" t="s">
        <v>118</v>
      </c>
      <c r="AY319" s="4" t="s">
        <v>109</v>
      </c>
      <c r="AZ319" s="4" t="s">
        <v>109</v>
      </c>
      <c r="BA319" s="4" t="s">
        <v>118</v>
      </c>
      <c r="BB319" s="4" t="s">
        <v>118</v>
      </c>
      <c r="BC319" s="4" t="s">
        <v>135</v>
      </c>
      <c r="BD319" s="4" t="s">
        <v>109</v>
      </c>
      <c r="BE319" s="4" t="s">
        <v>109</v>
      </c>
      <c r="BF319" s="4" t="s">
        <v>109</v>
      </c>
      <c r="BG319" s="4" t="s">
        <v>425</v>
      </c>
      <c r="BH319" s="4" t="s">
        <v>109</v>
      </c>
      <c r="BI319" s="75">
        <v>45986</v>
      </c>
      <c r="BJ319" s="69">
        <v>45291</v>
      </c>
      <c r="BK319" s="69">
        <v>46015</v>
      </c>
      <c r="BL319" s="97" t="s">
        <v>109</v>
      </c>
      <c r="BM319" s="4" t="s">
        <v>109</v>
      </c>
      <c r="BN319" s="97" t="b">
        <v>0</v>
      </c>
      <c r="BO319" s="130" t="s">
        <v>118</v>
      </c>
      <c r="BP319" s="4" t="s">
        <v>128</v>
      </c>
      <c r="CF319" s="6" t="s">
        <v>109</v>
      </c>
      <c r="CS319" s="144"/>
      <c r="CU319" s="216" t="s">
        <v>3187</v>
      </c>
      <c r="CW319" s="4" t="s">
        <v>4183</v>
      </c>
      <c r="CX319" s="220" t="s">
        <v>3910</v>
      </c>
    </row>
    <row r="320" spans="1:102" x14ac:dyDescent="0.3">
      <c r="A320" s="2">
        <v>365</v>
      </c>
      <c r="B320" s="109" t="s">
        <v>4184</v>
      </c>
      <c r="C320" s="55"/>
      <c r="D320" s="2"/>
      <c r="E320" s="2"/>
      <c r="F320" s="47"/>
      <c r="G320" s="67"/>
      <c r="H320" s="67"/>
      <c r="I320" s="67"/>
      <c r="J320" s="67"/>
      <c r="K320" s="67"/>
      <c r="L320" s="67"/>
      <c r="M320" s="67"/>
      <c r="N320" s="67"/>
      <c r="O320" s="67"/>
      <c r="Q320" s="67"/>
      <c r="R320" s="67"/>
      <c r="S320" s="67"/>
      <c r="T320" s="67"/>
      <c r="U320" s="86"/>
      <c r="V320" s="2"/>
      <c r="W320" s="2"/>
      <c r="X320" s="2"/>
      <c r="Y320" s="2" t="s">
        <v>701</v>
      </c>
      <c r="AA320" s="2"/>
      <c r="AB320" s="2"/>
      <c r="AC320" s="2"/>
      <c r="AD320" s="90"/>
      <c r="AE320" s="2"/>
      <c r="AF320" s="2" t="s">
        <v>4185</v>
      </c>
      <c r="AG320" s="3" t="s">
        <v>4176</v>
      </c>
      <c r="AH320" s="3" t="s">
        <v>4186</v>
      </c>
      <c r="AI320" s="2"/>
      <c r="AJ320" s="2" t="s">
        <v>4177</v>
      </c>
      <c r="AK320" s="2"/>
      <c r="AL320" s="2" t="s">
        <v>3053</v>
      </c>
      <c r="AM320" s="68"/>
      <c r="AN320" s="90"/>
      <c r="AO320" s="2"/>
      <c r="AP320" s="109"/>
      <c r="AQ320" s="2"/>
      <c r="AR320" s="2"/>
      <c r="AS320" s="2"/>
      <c r="AT320" s="2"/>
      <c r="AU320" s="90"/>
      <c r="AV320" s="2"/>
      <c r="AW320" s="2"/>
      <c r="AY320" s="2"/>
      <c r="AZ320" s="2"/>
      <c r="BA320" s="2"/>
      <c r="BB320" s="2"/>
      <c r="BC320" s="2" t="s">
        <v>135</v>
      </c>
      <c r="BD320" s="2"/>
      <c r="BE320" s="2"/>
      <c r="BF320" s="2"/>
      <c r="BG320" s="2"/>
      <c r="BH320" s="2"/>
      <c r="BI320" s="68"/>
      <c r="BJ320" s="68"/>
      <c r="BK320" s="68"/>
      <c r="BL320" s="98"/>
      <c r="BM320" s="2"/>
      <c r="BN320" s="2"/>
      <c r="BO320" s="90"/>
      <c r="BP320" s="2"/>
      <c r="CF320" s="2"/>
      <c r="CS320" s="146"/>
      <c r="CU320" s="132" t="s">
        <v>3187</v>
      </c>
      <c r="CW320" s="2" t="s">
        <v>3054</v>
      </c>
      <c r="CX320" s="38"/>
    </row>
    <row r="321" spans="1:102" x14ac:dyDescent="0.3">
      <c r="A321" s="4">
        <v>366</v>
      </c>
      <c r="B321" s="44" t="s">
        <v>4187</v>
      </c>
      <c r="C321" s="56" t="s">
        <v>109</v>
      </c>
      <c r="D321" s="4" t="s">
        <v>109</v>
      </c>
      <c r="E321" s="4" t="s">
        <v>109</v>
      </c>
      <c r="F321" s="46" t="s">
        <v>4188</v>
      </c>
      <c r="G321" s="64" t="s">
        <v>661</v>
      </c>
      <c r="H321" s="64" t="s">
        <v>113</v>
      </c>
      <c r="I321" s="64" t="s">
        <v>109</v>
      </c>
      <c r="J321" s="64" t="s">
        <v>109</v>
      </c>
      <c r="K321" s="64" t="s">
        <v>662</v>
      </c>
      <c r="L321" s="64" t="s">
        <v>188</v>
      </c>
      <c r="M321" s="64" t="s">
        <v>109</v>
      </c>
      <c r="N321" s="64" t="s">
        <v>109</v>
      </c>
      <c r="O321" s="4" t="s">
        <v>109</v>
      </c>
      <c r="Q321" s="6" t="s">
        <v>109</v>
      </c>
      <c r="R321" s="64" t="s">
        <v>109</v>
      </c>
      <c r="S321" s="64" t="s">
        <v>109</v>
      </c>
      <c r="T321" s="64" t="s">
        <v>109</v>
      </c>
      <c r="U321" s="4" t="s">
        <v>285</v>
      </c>
      <c r="V321" s="4" t="s">
        <v>3275</v>
      </c>
      <c r="W321" s="4" t="b">
        <v>0</v>
      </c>
      <c r="X321" s="4" t="s">
        <v>109</v>
      </c>
      <c r="Y321" s="4" t="s">
        <v>2148</v>
      </c>
      <c r="AA321" s="4" t="s">
        <v>118</v>
      </c>
      <c r="AB321" s="4" t="s">
        <v>118</v>
      </c>
      <c r="AC321" s="4" t="s">
        <v>119</v>
      </c>
      <c r="AD321" s="91" t="s">
        <v>109</v>
      </c>
      <c r="AE321" s="4">
        <v>1.1000000000000001</v>
      </c>
      <c r="AF321" s="4" t="s">
        <v>3023</v>
      </c>
      <c r="AG321" s="5" t="s">
        <v>4189</v>
      </c>
      <c r="AH321" s="5" t="s">
        <v>3025</v>
      </c>
      <c r="AI321" s="4">
        <v>372</v>
      </c>
      <c r="AJ321" s="4" t="s">
        <v>4190</v>
      </c>
      <c r="AK321" s="4" t="s">
        <v>121</v>
      </c>
      <c r="AL321" s="4" t="s">
        <v>3027</v>
      </c>
      <c r="AM321" s="69">
        <v>45562</v>
      </c>
      <c r="AN321" s="4" t="s">
        <v>122</v>
      </c>
      <c r="AO321" s="4" t="s">
        <v>109</v>
      </c>
      <c r="AP321" s="217" t="s">
        <v>109</v>
      </c>
      <c r="AQ321" s="4" t="b">
        <v>0</v>
      </c>
      <c r="AR321" s="4" t="s">
        <v>109</v>
      </c>
      <c r="AS321" s="4" t="s">
        <v>109</v>
      </c>
      <c r="AT321" s="4" t="s">
        <v>118</v>
      </c>
      <c r="AU321" s="4" t="b">
        <v>0</v>
      </c>
      <c r="AV321" s="4" t="s">
        <v>109</v>
      </c>
      <c r="AW321" s="4" t="s">
        <v>118</v>
      </c>
      <c r="AY321" s="4" t="s">
        <v>109</v>
      </c>
      <c r="AZ321" s="4" t="s">
        <v>109</v>
      </c>
      <c r="BA321" s="4" t="s">
        <v>118</v>
      </c>
      <c r="BB321" s="4" t="s">
        <v>118</v>
      </c>
      <c r="BC321" s="4" t="s">
        <v>109</v>
      </c>
      <c r="BD321" s="69" t="s">
        <v>109</v>
      </c>
      <c r="BE321" s="4" t="s">
        <v>109</v>
      </c>
      <c r="BF321" s="4" t="s">
        <v>109</v>
      </c>
      <c r="BG321" s="4" t="s">
        <v>126</v>
      </c>
      <c r="BH321" s="4" t="s">
        <v>109</v>
      </c>
      <c r="BI321" s="69" t="s">
        <v>109</v>
      </c>
      <c r="BJ321" s="69">
        <v>45657</v>
      </c>
      <c r="BK321" s="69" t="s">
        <v>109</v>
      </c>
      <c r="BL321" s="97" t="s">
        <v>109</v>
      </c>
      <c r="BM321" s="4" t="s">
        <v>109</v>
      </c>
      <c r="BN321" s="4" t="b">
        <v>1</v>
      </c>
      <c r="BO321" s="130" t="s">
        <v>118</v>
      </c>
      <c r="BP321" s="4" t="s">
        <v>128</v>
      </c>
      <c r="CF321" s="4" t="s">
        <v>129</v>
      </c>
      <c r="CS321" s="144"/>
      <c r="CU321" s="216" t="s">
        <v>3187</v>
      </c>
      <c r="CW321" s="4" t="s">
        <v>3029</v>
      </c>
      <c r="CX321" s="39"/>
    </row>
    <row r="322" spans="1:102" x14ac:dyDescent="0.3">
      <c r="A322" s="2">
        <v>367</v>
      </c>
      <c r="B322" s="43" t="s">
        <v>2152</v>
      </c>
      <c r="C322" s="55" t="s">
        <v>2153</v>
      </c>
      <c r="D322" s="2" t="s">
        <v>2153</v>
      </c>
      <c r="E322" s="2" t="s">
        <v>191</v>
      </c>
      <c r="F322" s="47" t="s">
        <v>4191</v>
      </c>
      <c r="G322" s="67" t="s">
        <v>1947</v>
      </c>
      <c r="H322" s="67" t="s">
        <v>146</v>
      </c>
      <c r="I322" s="79" t="s">
        <v>113</v>
      </c>
      <c r="J322" s="67" t="s">
        <v>109</v>
      </c>
      <c r="K322" s="67" t="s">
        <v>114</v>
      </c>
      <c r="L322" s="67" t="s">
        <v>188</v>
      </c>
      <c r="M322" s="67" t="s">
        <v>109</v>
      </c>
      <c r="N322" s="67" t="s">
        <v>109</v>
      </c>
      <c r="O322" s="2" t="s">
        <v>109</v>
      </c>
      <c r="Q322" s="7" t="s">
        <v>109</v>
      </c>
      <c r="R322" s="67" t="s">
        <v>109</v>
      </c>
      <c r="S322" s="67" t="s">
        <v>109</v>
      </c>
      <c r="T322" s="67" t="s">
        <v>109</v>
      </c>
      <c r="U322" s="2" t="s">
        <v>404</v>
      </c>
      <c r="V322" s="2" t="s">
        <v>918</v>
      </c>
      <c r="W322" s="2" t="b">
        <v>0</v>
      </c>
      <c r="X322" s="2" t="s">
        <v>109</v>
      </c>
      <c r="Y322" s="2" t="s">
        <v>2148</v>
      </c>
      <c r="AA322" s="2" t="s">
        <v>109</v>
      </c>
      <c r="AB322" s="2" t="s">
        <v>109</v>
      </c>
      <c r="AC322" s="2" t="s">
        <v>109</v>
      </c>
      <c r="AD322" s="90" t="s">
        <v>109</v>
      </c>
      <c r="AE322" s="2">
        <v>1.1000000000000001</v>
      </c>
      <c r="AF322" s="2" t="s">
        <v>4192</v>
      </c>
      <c r="AG322" s="3" t="s">
        <v>4189</v>
      </c>
      <c r="AH322" s="3" t="s">
        <v>4193</v>
      </c>
      <c r="AI322" s="2">
        <v>1</v>
      </c>
      <c r="AJ322" s="2" t="s">
        <v>4190</v>
      </c>
      <c r="AK322" s="2" t="s">
        <v>121</v>
      </c>
      <c r="AL322" s="2" t="s">
        <v>3027</v>
      </c>
      <c r="AM322" s="68">
        <v>44882</v>
      </c>
      <c r="AN322" s="2" t="s">
        <v>122</v>
      </c>
      <c r="AO322" s="2" t="s">
        <v>109</v>
      </c>
      <c r="AP322" s="109" t="s">
        <v>109</v>
      </c>
      <c r="AQ322" s="2" t="b">
        <v>0</v>
      </c>
      <c r="AR322" s="2" t="s">
        <v>109</v>
      </c>
      <c r="AS322" s="2" t="s">
        <v>109</v>
      </c>
      <c r="AT322" s="2" t="s">
        <v>109</v>
      </c>
      <c r="AU322" s="2" t="b">
        <v>0</v>
      </c>
      <c r="AV322" s="2" t="s">
        <v>109</v>
      </c>
      <c r="AW322" s="2" t="s">
        <v>109</v>
      </c>
      <c r="AY322" s="2" t="s">
        <v>109</v>
      </c>
      <c r="AZ322" s="2" t="s">
        <v>109</v>
      </c>
      <c r="BA322" s="2" t="s">
        <v>109</v>
      </c>
      <c r="BB322" s="2" t="s">
        <v>109</v>
      </c>
      <c r="BC322" s="2" t="s">
        <v>135</v>
      </c>
      <c r="BD322" s="2" t="s">
        <v>109</v>
      </c>
      <c r="BE322" s="2" t="s">
        <v>109</v>
      </c>
      <c r="BF322" s="2" t="s">
        <v>109</v>
      </c>
      <c r="BG322" s="2" t="s">
        <v>126</v>
      </c>
      <c r="BH322" s="2" t="s">
        <v>109</v>
      </c>
      <c r="BI322" s="68">
        <v>44230</v>
      </c>
      <c r="BJ322" s="68">
        <v>45291</v>
      </c>
      <c r="BK322" s="68">
        <v>45088</v>
      </c>
      <c r="BL322" s="98" t="s">
        <v>109</v>
      </c>
      <c r="BM322" s="98" t="s">
        <v>109</v>
      </c>
      <c r="BN322" s="2" t="b">
        <v>1</v>
      </c>
      <c r="BO322" s="85" t="s">
        <v>118</v>
      </c>
      <c r="BP322" s="2" t="s">
        <v>128</v>
      </c>
      <c r="CF322" s="7" t="s">
        <v>2295</v>
      </c>
      <c r="CS322" s="145"/>
      <c r="CU322" s="132" t="s">
        <v>3187</v>
      </c>
      <c r="CW322" s="2" t="s">
        <v>3029</v>
      </c>
      <c r="CX322" s="38"/>
    </row>
    <row r="323" spans="1:102" ht="39.6" x14ac:dyDescent="0.3">
      <c r="A323" s="4">
        <v>368</v>
      </c>
      <c r="B323" s="44" t="s">
        <v>2158</v>
      </c>
      <c r="C323" s="53">
        <v>32.808999999999997</v>
      </c>
      <c r="D323" s="53">
        <v>-116.68300000000001</v>
      </c>
      <c r="E323" s="4" t="s">
        <v>191</v>
      </c>
      <c r="F323" s="46" t="s">
        <v>2159</v>
      </c>
      <c r="G323" s="4" t="s">
        <v>2002</v>
      </c>
      <c r="H323" s="4" t="s">
        <v>113</v>
      </c>
      <c r="I323" s="4" t="s">
        <v>146</v>
      </c>
      <c r="J323" s="4" t="s">
        <v>109</v>
      </c>
      <c r="K323" s="4" t="s">
        <v>234</v>
      </c>
      <c r="L323" s="4" t="s">
        <v>115</v>
      </c>
      <c r="M323" s="4" t="s">
        <v>109</v>
      </c>
      <c r="N323" s="4" t="s">
        <v>109</v>
      </c>
      <c r="O323" s="69">
        <v>45574</v>
      </c>
      <c r="Q323" s="4">
        <v>12</v>
      </c>
      <c r="R323" s="4" t="s">
        <v>109</v>
      </c>
      <c r="S323" s="4" t="s">
        <v>725</v>
      </c>
      <c r="T323" s="4" t="s">
        <v>109</v>
      </c>
      <c r="U323" s="4" t="s">
        <v>310</v>
      </c>
      <c r="V323" s="4" t="s">
        <v>3022</v>
      </c>
      <c r="W323" s="4" t="b">
        <v>0</v>
      </c>
      <c r="X323" s="4" t="s">
        <v>109</v>
      </c>
      <c r="Y323" s="4" t="s">
        <v>3623</v>
      </c>
      <c r="AA323" s="4" t="s">
        <v>118</v>
      </c>
      <c r="AB323" s="53">
        <v>40.94</v>
      </c>
      <c r="AC323" s="4">
        <v>500</v>
      </c>
      <c r="AD323" s="4" t="s">
        <v>2160</v>
      </c>
      <c r="AE323" s="4">
        <v>4.0999999999999996</v>
      </c>
      <c r="AF323" s="4" t="s">
        <v>4194</v>
      </c>
      <c r="AG323" s="5" t="s">
        <v>4195</v>
      </c>
      <c r="AH323" s="5" t="s">
        <v>4196</v>
      </c>
      <c r="AI323" s="4">
        <v>1</v>
      </c>
      <c r="AJ323" s="4" t="s">
        <v>4197</v>
      </c>
      <c r="AK323" s="4" t="s">
        <v>121</v>
      </c>
      <c r="AL323" s="4" t="s">
        <v>3027</v>
      </c>
      <c r="AM323" s="69">
        <v>44351</v>
      </c>
      <c r="AN323" s="4" t="s">
        <v>122</v>
      </c>
      <c r="AO323" s="4">
        <v>2021</v>
      </c>
      <c r="AP323" s="217" t="s">
        <v>109</v>
      </c>
      <c r="AQ323" s="4" t="b">
        <v>0</v>
      </c>
      <c r="AR323" s="4" t="s">
        <v>109</v>
      </c>
      <c r="AS323" s="4" t="s">
        <v>109</v>
      </c>
      <c r="AT323" s="4" t="s">
        <v>118</v>
      </c>
      <c r="AU323" s="4" t="b">
        <v>0</v>
      </c>
      <c r="AV323" s="4" t="s">
        <v>109</v>
      </c>
      <c r="AW323" s="4" t="s">
        <v>118</v>
      </c>
      <c r="AY323" s="4" t="s">
        <v>109</v>
      </c>
      <c r="AZ323" s="4" t="s">
        <v>109</v>
      </c>
      <c r="BA323" s="4" t="s">
        <v>118</v>
      </c>
      <c r="BB323" s="4" t="s">
        <v>118</v>
      </c>
      <c r="BC323" s="4" t="s">
        <v>135</v>
      </c>
      <c r="BD323" s="4" t="s">
        <v>109</v>
      </c>
      <c r="BE323" s="4" t="s">
        <v>109</v>
      </c>
      <c r="BF323" s="4" t="s">
        <v>109</v>
      </c>
      <c r="BG323" s="4" t="s">
        <v>126</v>
      </c>
      <c r="BH323" s="4" t="s">
        <v>109</v>
      </c>
      <c r="BI323" s="69" t="s">
        <v>881</v>
      </c>
      <c r="BJ323" s="69">
        <v>44742</v>
      </c>
      <c r="BK323" s="69">
        <v>44742</v>
      </c>
      <c r="BL323" s="97" t="s">
        <v>240</v>
      </c>
      <c r="BM323" s="4" t="s">
        <v>109</v>
      </c>
      <c r="BN323" s="97" t="b">
        <v>0</v>
      </c>
      <c r="BO323" s="130">
        <v>2699</v>
      </c>
      <c r="BP323" s="4" t="s">
        <v>128</v>
      </c>
      <c r="CF323" s="4" t="s">
        <v>2364</v>
      </c>
      <c r="CS323" s="143" t="s">
        <v>337</v>
      </c>
      <c r="CU323" s="216" t="s">
        <v>3028</v>
      </c>
      <c r="CW323" s="4" t="s">
        <v>3473</v>
      </c>
      <c r="CX323" s="39"/>
    </row>
    <row r="324" spans="1:102" ht="79.2" x14ac:dyDescent="0.3">
      <c r="A324" s="2">
        <v>369</v>
      </c>
      <c r="B324" s="43" t="s">
        <v>2163</v>
      </c>
      <c r="C324" s="52" t="s">
        <v>109</v>
      </c>
      <c r="D324" s="2" t="s">
        <v>109</v>
      </c>
      <c r="E324" s="7" t="s">
        <v>109</v>
      </c>
      <c r="F324" s="47" t="s">
        <v>2164</v>
      </c>
      <c r="G324" s="2" t="s">
        <v>233</v>
      </c>
      <c r="H324" s="2" t="s">
        <v>112</v>
      </c>
      <c r="I324" s="2" t="s">
        <v>109</v>
      </c>
      <c r="J324" s="2" t="s">
        <v>109</v>
      </c>
      <c r="K324" s="2" t="s">
        <v>2918</v>
      </c>
      <c r="L324" s="2" t="s">
        <v>214</v>
      </c>
      <c r="M324" s="2" t="s">
        <v>109</v>
      </c>
      <c r="N324" s="2" t="s">
        <v>109</v>
      </c>
      <c r="O324" s="2" t="s">
        <v>109</v>
      </c>
      <c r="Q324" s="2" t="s">
        <v>109</v>
      </c>
      <c r="R324" s="2" t="s">
        <v>109</v>
      </c>
      <c r="S324" s="2" t="s">
        <v>109</v>
      </c>
      <c r="T324" s="2" t="s">
        <v>109</v>
      </c>
      <c r="U324" s="2" t="s">
        <v>116</v>
      </c>
      <c r="V324" s="2" t="s">
        <v>3022</v>
      </c>
      <c r="W324" s="2" t="b">
        <v>0</v>
      </c>
      <c r="X324" s="2" t="s">
        <v>109</v>
      </c>
      <c r="Y324" s="2" t="s">
        <v>1058</v>
      </c>
      <c r="AA324" s="2" t="s">
        <v>118</v>
      </c>
      <c r="AB324" s="2" t="s">
        <v>118</v>
      </c>
      <c r="AC324" s="2" t="s">
        <v>119</v>
      </c>
      <c r="AD324" s="2" t="s">
        <v>109</v>
      </c>
      <c r="AE324" s="2">
        <v>1.3</v>
      </c>
      <c r="AF324" s="2" t="s">
        <v>3023</v>
      </c>
      <c r="AG324" s="3" t="s">
        <v>4198</v>
      </c>
      <c r="AH324" s="3" t="s">
        <v>3025</v>
      </c>
      <c r="AI324" s="2">
        <v>6</v>
      </c>
      <c r="AJ324" s="2" t="s">
        <v>4199</v>
      </c>
      <c r="AK324" s="2" t="s">
        <v>121</v>
      </c>
      <c r="AL324" s="2" t="s">
        <v>3027</v>
      </c>
      <c r="AM324" s="68">
        <v>45251</v>
      </c>
      <c r="AN324" s="2" t="s">
        <v>122</v>
      </c>
      <c r="AO324" s="2" t="s">
        <v>109</v>
      </c>
      <c r="AP324" s="109" t="s">
        <v>109</v>
      </c>
      <c r="AQ324" s="2" t="b">
        <v>0</v>
      </c>
      <c r="AR324" s="2" t="s">
        <v>109</v>
      </c>
      <c r="AS324" s="2" t="s">
        <v>109</v>
      </c>
      <c r="AT324" s="2" t="s">
        <v>118</v>
      </c>
      <c r="AU324" s="2" t="b">
        <v>0</v>
      </c>
      <c r="AV324" s="2" t="s">
        <v>109</v>
      </c>
      <c r="AW324" s="2" t="s">
        <v>118</v>
      </c>
      <c r="AY324" s="2" t="s">
        <v>109</v>
      </c>
      <c r="AZ324" s="2" t="s">
        <v>109</v>
      </c>
      <c r="BA324" s="2" t="s">
        <v>118</v>
      </c>
      <c r="BB324" s="2" t="s">
        <v>118</v>
      </c>
      <c r="BC324" s="2" t="s">
        <v>109</v>
      </c>
      <c r="BD324" s="68" t="s">
        <v>109</v>
      </c>
      <c r="BE324" s="7" t="s">
        <v>109</v>
      </c>
      <c r="BF324" s="2" t="s">
        <v>109</v>
      </c>
      <c r="BG324" s="2" t="s">
        <v>126</v>
      </c>
      <c r="BH324" s="2" t="s">
        <v>109</v>
      </c>
      <c r="BI324" s="68" t="s">
        <v>109</v>
      </c>
      <c r="BJ324" s="68">
        <v>45657</v>
      </c>
      <c r="BK324" s="68" t="s">
        <v>109</v>
      </c>
      <c r="BL324" s="98" t="s">
        <v>109</v>
      </c>
      <c r="BM324" s="2" t="s">
        <v>109</v>
      </c>
      <c r="BN324" s="2" t="b">
        <v>1</v>
      </c>
      <c r="BO324" s="85" t="s">
        <v>118</v>
      </c>
      <c r="BP324" s="2" t="s">
        <v>128</v>
      </c>
      <c r="CF324" s="2" t="s">
        <v>196</v>
      </c>
      <c r="CS324" s="142" t="s">
        <v>4200</v>
      </c>
      <c r="CU324" s="132" t="s">
        <v>3060</v>
      </c>
      <c r="CW324" s="2" t="s">
        <v>3029</v>
      </c>
      <c r="CX324" s="38"/>
    </row>
    <row r="325" spans="1:102" ht="105.6" x14ac:dyDescent="0.3">
      <c r="A325" s="4">
        <v>370</v>
      </c>
      <c r="B325" s="44" t="s">
        <v>2167</v>
      </c>
      <c r="C325" s="57" t="s">
        <v>109</v>
      </c>
      <c r="D325" s="4" t="s">
        <v>109</v>
      </c>
      <c r="E325" s="4" t="s">
        <v>109</v>
      </c>
      <c r="F325" s="46" t="s">
        <v>2168</v>
      </c>
      <c r="G325" s="64" t="s">
        <v>233</v>
      </c>
      <c r="H325" s="64" t="s">
        <v>112</v>
      </c>
      <c r="I325" s="64" t="s">
        <v>109</v>
      </c>
      <c r="J325" s="64" t="s">
        <v>109</v>
      </c>
      <c r="K325" s="64" t="s">
        <v>114</v>
      </c>
      <c r="L325" s="64" t="s">
        <v>214</v>
      </c>
      <c r="M325" s="64" t="s">
        <v>109</v>
      </c>
      <c r="N325" s="64" t="s">
        <v>109</v>
      </c>
      <c r="O325" s="69" t="s">
        <v>109</v>
      </c>
      <c r="Q325" s="6" t="s">
        <v>109</v>
      </c>
      <c r="R325" s="64" t="s">
        <v>109</v>
      </c>
      <c r="S325" s="64" t="s">
        <v>109</v>
      </c>
      <c r="T325" s="64" t="s">
        <v>109</v>
      </c>
      <c r="U325" s="4" t="s">
        <v>116</v>
      </c>
      <c r="V325" s="4" t="s">
        <v>117</v>
      </c>
      <c r="W325" s="4" t="b">
        <v>0</v>
      </c>
      <c r="X325" s="4" t="s">
        <v>109</v>
      </c>
      <c r="Y325" s="4" t="s">
        <v>1058</v>
      </c>
      <c r="AA325" s="4" t="s">
        <v>118</v>
      </c>
      <c r="AB325" s="4" t="s">
        <v>118</v>
      </c>
      <c r="AC325" s="4" t="s">
        <v>2169</v>
      </c>
      <c r="AD325" s="4" t="s">
        <v>109</v>
      </c>
      <c r="AE325" s="4">
        <v>1.3</v>
      </c>
      <c r="AF325" s="4" t="s">
        <v>4201</v>
      </c>
      <c r="AG325" s="5" t="s">
        <v>4198</v>
      </c>
      <c r="AH325" s="5" t="s">
        <v>4202</v>
      </c>
      <c r="AI325" s="4">
        <v>1</v>
      </c>
      <c r="AJ325" s="4" t="s">
        <v>4199</v>
      </c>
      <c r="AK325" s="4" t="s">
        <v>121</v>
      </c>
      <c r="AL325" s="4" t="s">
        <v>3027</v>
      </c>
      <c r="AM325" s="69">
        <v>44491</v>
      </c>
      <c r="AN325" s="4" t="s">
        <v>122</v>
      </c>
      <c r="AO325" s="4" t="s">
        <v>109</v>
      </c>
      <c r="AP325" s="217" t="s">
        <v>109</v>
      </c>
      <c r="AQ325" s="4" t="b">
        <v>0</v>
      </c>
      <c r="AR325" s="4" t="s">
        <v>109</v>
      </c>
      <c r="AS325" s="4" t="s">
        <v>109</v>
      </c>
      <c r="AT325" s="4" t="s">
        <v>109</v>
      </c>
      <c r="AU325" s="4" t="b">
        <v>0</v>
      </c>
      <c r="AV325" s="4" t="s">
        <v>109</v>
      </c>
      <c r="AW325" s="4" t="s">
        <v>109</v>
      </c>
      <c r="AY325" s="4" t="s">
        <v>109</v>
      </c>
      <c r="AZ325" s="4" t="s">
        <v>109</v>
      </c>
      <c r="BA325" s="4" t="s">
        <v>109</v>
      </c>
      <c r="BB325" s="4" t="s">
        <v>109</v>
      </c>
      <c r="BC325" s="4" t="s">
        <v>135</v>
      </c>
      <c r="BD325" s="4" t="s">
        <v>109</v>
      </c>
      <c r="BE325" s="4" t="s">
        <v>109</v>
      </c>
      <c r="BF325" s="4" t="s">
        <v>109</v>
      </c>
      <c r="BG325" s="4" t="s">
        <v>126</v>
      </c>
      <c r="BH325" s="4" t="s">
        <v>109</v>
      </c>
      <c r="BI325" s="69" t="s">
        <v>1392</v>
      </c>
      <c r="BJ325" s="75">
        <v>45291</v>
      </c>
      <c r="BK325" s="112" t="s">
        <v>4203</v>
      </c>
      <c r="BL325" s="4" t="s">
        <v>521</v>
      </c>
      <c r="BM325" s="97" t="s">
        <v>521</v>
      </c>
      <c r="BN325" s="4" t="b">
        <v>1</v>
      </c>
      <c r="BO325" s="130" t="s">
        <v>118</v>
      </c>
      <c r="BP325" s="4" t="s">
        <v>128</v>
      </c>
      <c r="CF325" s="4" t="s">
        <v>2295</v>
      </c>
      <c r="CS325" s="143" t="s">
        <v>4204</v>
      </c>
      <c r="CU325" s="216" t="s">
        <v>3060</v>
      </c>
      <c r="CW325" s="4" t="s">
        <v>4205</v>
      </c>
      <c r="CX325" s="39"/>
    </row>
    <row r="326" spans="1:102" ht="39.6" x14ac:dyDescent="0.3">
      <c r="A326" s="2">
        <v>371</v>
      </c>
      <c r="B326" s="43" t="s">
        <v>2172</v>
      </c>
      <c r="C326" s="52" t="s">
        <v>109</v>
      </c>
      <c r="D326" s="2" t="s">
        <v>109</v>
      </c>
      <c r="E326" s="2" t="s">
        <v>109</v>
      </c>
      <c r="F326" s="47" t="s">
        <v>2168</v>
      </c>
      <c r="G326" s="67" t="s">
        <v>233</v>
      </c>
      <c r="H326" s="67" t="s">
        <v>112</v>
      </c>
      <c r="I326" s="67" t="s">
        <v>109</v>
      </c>
      <c r="J326" s="67" t="s">
        <v>109</v>
      </c>
      <c r="K326" s="67" t="s">
        <v>114</v>
      </c>
      <c r="L326" s="67" t="s">
        <v>214</v>
      </c>
      <c r="M326" s="67" t="s">
        <v>109</v>
      </c>
      <c r="N326" s="67" t="s">
        <v>109</v>
      </c>
      <c r="O326" s="68" t="s">
        <v>109</v>
      </c>
      <c r="Q326" s="7" t="s">
        <v>109</v>
      </c>
      <c r="R326" s="67" t="s">
        <v>109</v>
      </c>
      <c r="S326" s="67" t="s">
        <v>109</v>
      </c>
      <c r="T326" s="67" t="s">
        <v>109</v>
      </c>
      <c r="U326" s="2" t="s">
        <v>116</v>
      </c>
      <c r="V326" s="2" t="s">
        <v>117</v>
      </c>
      <c r="W326" s="2" t="b">
        <v>0</v>
      </c>
      <c r="X326" s="2" t="s">
        <v>109</v>
      </c>
      <c r="Y326" s="2" t="s">
        <v>1058</v>
      </c>
      <c r="AA326" s="2" t="s">
        <v>118</v>
      </c>
      <c r="AB326" s="2" t="s">
        <v>118</v>
      </c>
      <c r="AC326" s="2" t="s">
        <v>2169</v>
      </c>
      <c r="AD326" s="2" t="s">
        <v>109</v>
      </c>
      <c r="AE326" s="2">
        <v>1.3</v>
      </c>
      <c r="AF326" s="2" t="s">
        <v>4206</v>
      </c>
      <c r="AG326" s="3" t="s">
        <v>4198</v>
      </c>
      <c r="AH326" s="3" t="s">
        <v>4207</v>
      </c>
      <c r="AI326" s="2">
        <v>1</v>
      </c>
      <c r="AJ326" s="2" t="s">
        <v>4199</v>
      </c>
      <c r="AK326" s="2" t="s">
        <v>121</v>
      </c>
      <c r="AL326" s="2" t="s">
        <v>3027</v>
      </c>
      <c r="AM326" s="68">
        <v>44447</v>
      </c>
      <c r="AN326" s="2" t="s">
        <v>122</v>
      </c>
      <c r="AO326" s="2" t="s">
        <v>109</v>
      </c>
      <c r="AP326" s="109">
        <v>2021</v>
      </c>
      <c r="AQ326" s="2" t="b">
        <v>0</v>
      </c>
      <c r="AR326" s="2" t="s">
        <v>109</v>
      </c>
      <c r="AS326" s="2" t="s">
        <v>109</v>
      </c>
      <c r="AT326" s="2" t="s">
        <v>109</v>
      </c>
      <c r="AU326" s="2" t="b">
        <v>0</v>
      </c>
      <c r="AV326" s="2" t="s">
        <v>109</v>
      </c>
      <c r="AW326" s="2" t="s">
        <v>109</v>
      </c>
      <c r="AY326" s="2" t="s">
        <v>109</v>
      </c>
      <c r="AZ326" s="2" t="s">
        <v>109</v>
      </c>
      <c r="BA326" s="2" t="s">
        <v>109</v>
      </c>
      <c r="BB326" s="2" t="s">
        <v>109</v>
      </c>
      <c r="BC326" s="2" t="s">
        <v>135</v>
      </c>
      <c r="BD326" s="2" t="s">
        <v>109</v>
      </c>
      <c r="BE326" s="2" t="s">
        <v>109</v>
      </c>
      <c r="BF326" s="2" t="s">
        <v>109</v>
      </c>
      <c r="BG326" s="2" t="s">
        <v>126</v>
      </c>
      <c r="BH326" s="2" t="s">
        <v>109</v>
      </c>
      <c r="BI326" s="68" t="s">
        <v>2174</v>
      </c>
      <c r="BJ326" s="68">
        <v>44561</v>
      </c>
      <c r="BK326" s="68">
        <v>44831</v>
      </c>
      <c r="BL326" s="2" t="s">
        <v>2882</v>
      </c>
      <c r="BM326" s="98" t="s">
        <v>2882</v>
      </c>
      <c r="BN326" s="2" t="b">
        <v>1</v>
      </c>
      <c r="BO326" s="85" t="s">
        <v>118</v>
      </c>
      <c r="BP326" s="2" t="s">
        <v>128</v>
      </c>
      <c r="CF326" s="2" t="s">
        <v>460</v>
      </c>
      <c r="CS326" s="142" t="s">
        <v>2176</v>
      </c>
      <c r="CU326" s="132" t="s">
        <v>3060</v>
      </c>
      <c r="CW326" s="2" t="s">
        <v>4205</v>
      </c>
      <c r="CX326" s="38"/>
    </row>
    <row r="327" spans="1:102" ht="39.6" x14ac:dyDescent="0.3">
      <c r="A327" s="4">
        <v>372</v>
      </c>
      <c r="B327" s="44" t="s">
        <v>2177</v>
      </c>
      <c r="C327" s="57" t="s">
        <v>109</v>
      </c>
      <c r="D327" s="4" t="s">
        <v>109</v>
      </c>
      <c r="E327" s="4" t="s">
        <v>109</v>
      </c>
      <c r="F327" s="46" t="s">
        <v>2178</v>
      </c>
      <c r="G327" s="64" t="s">
        <v>233</v>
      </c>
      <c r="H327" s="64" t="s">
        <v>112</v>
      </c>
      <c r="I327" s="64" t="s">
        <v>109</v>
      </c>
      <c r="J327" s="64" t="s">
        <v>109</v>
      </c>
      <c r="K327" s="64" t="s">
        <v>114</v>
      </c>
      <c r="L327" s="64" t="s">
        <v>214</v>
      </c>
      <c r="M327" s="64" t="s">
        <v>109</v>
      </c>
      <c r="N327" s="64" t="s">
        <v>109</v>
      </c>
      <c r="O327" s="69" t="s">
        <v>109</v>
      </c>
      <c r="Q327" s="6" t="s">
        <v>109</v>
      </c>
      <c r="R327" s="64" t="s">
        <v>109</v>
      </c>
      <c r="S327" s="64" t="s">
        <v>109</v>
      </c>
      <c r="T327" s="64" t="s">
        <v>109</v>
      </c>
      <c r="U327" s="4" t="s">
        <v>116</v>
      </c>
      <c r="V327" s="4" t="s">
        <v>117</v>
      </c>
      <c r="W327" s="4" t="b">
        <v>0</v>
      </c>
      <c r="X327" s="4" t="s">
        <v>109</v>
      </c>
      <c r="Y327" s="4" t="s">
        <v>1058</v>
      </c>
      <c r="AA327" s="4" t="s">
        <v>118</v>
      </c>
      <c r="AB327" s="4" t="s">
        <v>118</v>
      </c>
      <c r="AC327" s="4" t="s">
        <v>2169</v>
      </c>
      <c r="AD327" s="4" t="s">
        <v>109</v>
      </c>
      <c r="AE327" s="4">
        <v>1.3</v>
      </c>
      <c r="AF327" s="4" t="s">
        <v>4208</v>
      </c>
      <c r="AG327" s="5" t="s">
        <v>4198</v>
      </c>
      <c r="AH327" s="5" t="s">
        <v>4209</v>
      </c>
      <c r="AI327" s="4">
        <v>1</v>
      </c>
      <c r="AJ327" s="4" t="s">
        <v>4199</v>
      </c>
      <c r="AK327" s="4" t="s">
        <v>121</v>
      </c>
      <c r="AL327" s="4" t="s">
        <v>3027</v>
      </c>
      <c r="AM327" s="69">
        <v>45251</v>
      </c>
      <c r="AN327" s="4" t="s">
        <v>122</v>
      </c>
      <c r="AO327" s="4" t="s">
        <v>109</v>
      </c>
      <c r="AP327" s="217">
        <v>2024</v>
      </c>
      <c r="AQ327" s="4" t="b">
        <v>0</v>
      </c>
      <c r="AR327" s="4" t="s">
        <v>109</v>
      </c>
      <c r="AS327" s="4" t="s">
        <v>109</v>
      </c>
      <c r="AT327" s="4" t="s">
        <v>109</v>
      </c>
      <c r="AU327" s="4" t="b">
        <v>0</v>
      </c>
      <c r="AV327" s="4" t="s">
        <v>109</v>
      </c>
      <c r="AW327" s="4" t="s">
        <v>109</v>
      </c>
      <c r="AY327" s="4" t="s">
        <v>109</v>
      </c>
      <c r="AZ327" s="4" t="s">
        <v>109</v>
      </c>
      <c r="BA327" s="4" t="s">
        <v>109</v>
      </c>
      <c r="BB327" s="4" t="s">
        <v>109</v>
      </c>
      <c r="BC327" s="4" t="s">
        <v>135</v>
      </c>
      <c r="BD327" s="4" t="s">
        <v>109</v>
      </c>
      <c r="BE327" s="4" t="s">
        <v>109</v>
      </c>
      <c r="BF327" s="4" t="s">
        <v>109</v>
      </c>
      <c r="BG327" s="4" t="s">
        <v>1146</v>
      </c>
      <c r="BH327" s="4" t="s">
        <v>109</v>
      </c>
      <c r="BI327" s="69" t="s">
        <v>4210</v>
      </c>
      <c r="BJ327" s="69">
        <v>45657</v>
      </c>
      <c r="BK327" s="69">
        <v>45807</v>
      </c>
      <c r="BL327" s="4" t="s">
        <v>109</v>
      </c>
      <c r="BM327" s="97" t="s">
        <v>109</v>
      </c>
      <c r="BN327" s="4" t="b">
        <v>1</v>
      </c>
      <c r="BO327" s="130" t="s">
        <v>118</v>
      </c>
      <c r="BP327" s="4" t="s">
        <v>128</v>
      </c>
      <c r="CF327" s="4">
        <v>2025</v>
      </c>
      <c r="CS327" s="143" t="s">
        <v>2182</v>
      </c>
      <c r="CU327" s="216" t="s">
        <v>3060</v>
      </c>
      <c r="CW327" s="4" t="s">
        <v>4205</v>
      </c>
      <c r="CX327" s="39"/>
    </row>
    <row r="328" spans="1:102" x14ac:dyDescent="0.3">
      <c r="A328" s="2">
        <v>373</v>
      </c>
      <c r="B328" s="109" t="s">
        <v>4211</v>
      </c>
      <c r="C328" s="55"/>
      <c r="D328" s="2"/>
      <c r="E328" s="2"/>
      <c r="F328" s="47"/>
      <c r="G328" s="67"/>
      <c r="H328" s="67"/>
      <c r="I328" s="67"/>
      <c r="J328" s="67"/>
      <c r="K328" s="67"/>
      <c r="L328" s="67"/>
      <c r="M328" s="67"/>
      <c r="N328" s="67"/>
      <c r="O328" s="67"/>
      <c r="Q328" s="67"/>
      <c r="R328" s="67"/>
      <c r="S328" s="67"/>
      <c r="T328" s="67"/>
      <c r="U328" s="86"/>
      <c r="V328" s="2"/>
      <c r="W328" s="2"/>
      <c r="X328" s="2"/>
      <c r="Y328" s="2" t="s">
        <v>1058</v>
      </c>
      <c r="AA328" s="2"/>
      <c r="AB328" s="2"/>
      <c r="AC328" s="2"/>
      <c r="AD328" s="90"/>
      <c r="AE328" s="2"/>
      <c r="AF328" s="2" t="s">
        <v>4206</v>
      </c>
      <c r="AG328" s="3" t="s">
        <v>4198</v>
      </c>
      <c r="AH328" s="3" t="s">
        <v>4212</v>
      </c>
      <c r="AI328" s="2"/>
      <c r="AJ328" s="2" t="s">
        <v>4199</v>
      </c>
      <c r="AK328" s="2"/>
      <c r="AL328" s="2" t="s">
        <v>3053</v>
      </c>
      <c r="AM328" s="68"/>
      <c r="AN328" s="90"/>
      <c r="AO328" s="2"/>
      <c r="AP328" s="109"/>
      <c r="AQ328" s="2"/>
      <c r="AR328" s="2"/>
      <c r="AS328" s="2"/>
      <c r="AT328" s="2"/>
      <c r="AU328" s="90"/>
      <c r="AV328" s="2"/>
      <c r="AW328" s="2"/>
      <c r="AY328" s="2"/>
      <c r="AZ328" s="2"/>
      <c r="BA328" s="2"/>
      <c r="BB328" s="2"/>
      <c r="BC328" s="2"/>
      <c r="BD328" s="2"/>
      <c r="BE328" s="2"/>
      <c r="BF328" s="2"/>
      <c r="BG328" s="2"/>
      <c r="BH328" s="2"/>
      <c r="BI328" s="68"/>
      <c r="BJ328" s="68"/>
      <c r="BK328" s="68"/>
      <c r="BL328" s="98"/>
      <c r="BM328" s="2"/>
      <c r="BN328" s="2"/>
      <c r="BO328" s="90"/>
      <c r="BP328" s="2"/>
      <c r="CF328" s="2"/>
      <c r="CS328" s="146"/>
      <c r="CU328" s="226" t="s">
        <v>4213</v>
      </c>
      <c r="CW328" s="2" t="s">
        <v>3054</v>
      </c>
      <c r="CX328" s="38"/>
    </row>
    <row r="329" spans="1:102" ht="79.2" x14ac:dyDescent="0.3">
      <c r="A329" s="4">
        <v>374</v>
      </c>
      <c r="B329" s="44" t="s">
        <v>2183</v>
      </c>
      <c r="C329" s="56">
        <v>32.578000000000003</v>
      </c>
      <c r="D329" s="53">
        <v>-117.035</v>
      </c>
      <c r="E329" s="4" t="s">
        <v>329</v>
      </c>
      <c r="F329" s="46" t="s">
        <v>2184</v>
      </c>
      <c r="G329" s="64" t="s">
        <v>661</v>
      </c>
      <c r="H329" s="64" t="s">
        <v>146</v>
      </c>
      <c r="I329" s="64" t="s">
        <v>109</v>
      </c>
      <c r="J329" s="64" t="s">
        <v>109</v>
      </c>
      <c r="K329" s="64" t="s">
        <v>662</v>
      </c>
      <c r="L329" s="64" t="s">
        <v>2185</v>
      </c>
      <c r="M329" s="64" t="s">
        <v>505</v>
      </c>
      <c r="N329" s="64" t="s">
        <v>109</v>
      </c>
      <c r="O329" s="66">
        <v>45307.5</v>
      </c>
      <c r="Q329" s="6">
        <v>60</v>
      </c>
      <c r="R329" s="64" t="s">
        <v>109</v>
      </c>
      <c r="S329" s="64" t="s">
        <v>109</v>
      </c>
      <c r="T329" s="64" t="s">
        <v>109</v>
      </c>
      <c r="U329" s="4" t="s">
        <v>404</v>
      </c>
      <c r="V329" s="4" t="s">
        <v>3275</v>
      </c>
      <c r="W329" s="4" t="b">
        <v>0</v>
      </c>
      <c r="X329" s="4" t="s">
        <v>109</v>
      </c>
      <c r="Y329" s="4" t="s">
        <v>876</v>
      </c>
      <c r="AA329" s="53">
        <v>1.6</v>
      </c>
      <c r="AB329" s="4" t="s">
        <v>118</v>
      </c>
      <c r="AC329" s="4">
        <v>69</v>
      </c>
      <c r="AD329" s="91" t="s">
        <v>109</v>
      </c>
      <c r="AE329" s="4">
        <v>2.1</v>
      </c>
      <c r="AF329" s="4" t="s">
        <v>4214</v>
      </c>
      <c r="AG329" s="5" t="s">
        <v>4215</v>
      </c>
      <c r="AH329" s="5" t="s">
        <v>4216</v>
      </c>
      <c r="AI329" s="4">
        <v>1</v>
      </c>
      <c r="AJ329" s="4" t="s">
        <v>4217</v>
      </c>
      <c r="AK329" s="4" t="s">
        <v>121</v>
      </c>
      <c r="AL329" s="4" t="s">
        <v>3027</v>
      </c>
      <c r="AM329" s="69"/>
      <c r="AN329" s="4" t="s">
        <v>122</v>
      </c>
      <c r="AO329" s="4" t="s">
        <v>109</v>
      </c>
      <c r="AP329" s="217" t="s">
        <v>109</v>
      </c>
      <c r="AQ329" s="4" t="s">
        <v>109</v>
      </c>
      <c r="AR329" s="4" t="s">
        <v>109</v>
      </c>
      <c r="AS329" s="4" t="s">
        <v>109</v>
      </c>
      <c r="AT329" s="4" t="s">
        <v>109</v>
      </c>
      <c r="AU329" s="4" t="b">
        <v>0</v>
      </c>
      <c r="AV329" s="4" t="s">
        <v>109</v>
      </c>
      <c r="AW329" s="4" t="s">
        <v>118</v>
      </c>
      <c r="AY329" s="4" t="s">
        <v>109</v>
      </c>
      <c r="AZ329" s="4" t="s">
        <v>109</v>
      </c>
      <c r="BA329" s="4" t="s">
        <v>118</v>
      </c>
      <c r="BB329" s="4" t="s">
        <v>118</v>
      </c>
      <c r="BC329" s="4" t="s">
        <v>123</v>
      </c>
      <c r="BD329" s="4" t="s">
        <v>2188</v>
      </c>
      <c r="BE329" s="4" t="s">
        <v>125</v>
      </c>
      <c r="BF329" s="4">
        <v>2029</v>
      </c>
      <c r="BG329" s="4" t="s">
        <v>546</v>
      </c>
      <c r="BH329" s="4" t="s">
        <v>109</v>
      </c>
      <c r="BI329" s="69">
        <v>46303</v>
      </c>
      <c r="BJ329" s="69" t="s">
        <v>109</v>
      </c>
      <c r="BK329" s="69">
        <v>46384</v>
      </c>
      <c r="BL329" s="102" t="s">
        <v>246</v>
      </c>
      <c r="BM329" s="4" t="s">
        <v>109</v>
      </c>
      <c r="BN329" s="4" t="b">
        <v>1</v>
      </c>
      <c r="BO329" s="130" t="s">
        <v>118</v>
      </c>
      <c r="BP329" s="4" t="s">
        <v>128</v>
      </c>
      <c r="CF329" s="6" t="s">
        <v>196</v>
      </c>
      <c r="CS329" s="143" t="s">
        <v>2191</v>
      </c>
      <c r="CU329" s="216" t="s">
        <v>3187</v>
      </c>
      <c r="CW329" s="4" t="s">
        <v>4218</v>
      </c>
      <c r="CX329" s="39"/>
    </row>
    <row r="330" spans="1:102" x14ac:dyDescent="0.3">
      <c r="A330" s="2">
        <v>375</v>
      </c>
      <c r="B330" s="43" t="s">
        <v>2192</v>
      </c>
      <c r="C330" s="2">
        <v>-117.212</v>
      </c>
      <c r="D330" s="2">
        <v>32.9</v>
      </c>
      <c r="E330" s="2" t="s">
        <v>410</v>
      </c>
      <c r="F330" s="80" t="s">
        <v>2193</v>
      </c>
      <c r="G330" s="67" t="s">
        <v>661</v>
      </c>
      <c r="H330" s="67" t="s">
        <v>958</v>
      </c>
      <c r="I330" s="67" t="s">
        <v>109</v>
      </c>
      <c r="J330" s="67" t="s">
        <v>109</v>
      </c>
      <c r="K330" s="67" t="s">
        <v>134</v>
      </c>
      <c r="L330" s="2" t="s">
        <v>1158</v>
      </c>
      <c r="M330" s="67" t="s">
        <v>109</v>
      </c>
      <c r="N330" s="67" t="s">
        <v>109</v>
      </c>
      <c r="O330" s="74">
        <v>45416</v>
      </c>
      <c r="Q330" s="7">
        <v>60</v>
      </c>
      <c r="R330" s="67" t="s">
        <v>109</v>
      </c>
      <c r="S330" s="67" t="s">
        <v>109</v>
      </c>
      <c r="T330" s="67" t="s">
        <v>109</v>
      </c>
      <c r="U330" s="2" t="s">
        <v>116</v>
      </c>
      <c r="V330" s="2" t="s">
        <v>3022</v>
      </c>
      <c r="W330" s="2" t="b">
        <v>0</v>
      </c>
      <c r="X330" s="2" t="s">
        <v>123</v>
      </c>
      <c r="Y330" s="2" t="s">
        <v>954</v>
      </c>
      <c r="AA330" s="2">
        <v>0.25</v>
      </c>
      <c r="AB330" s="2" t="s">
        <v>109</v>
      </c>
      <c r="AC330" s="2">
        <v>69</v>
      </c>
      <c r="AD330" s="2" t="s">
        <v>109</v>
      </c>
      <c r="AE330" s="2">
        <v>1</v>
      </c>
      <c r="AF330" s="2" t="s">
        <v>4219</v>
      </c>
      <c r="AG330" s="3" t="s">
        <v>4220</v>
      </c>
      <c r="AH330" s="3" t="s">
        <v>3071</v>
      </c>
      <c r="AI330" s="2">
        <v>1</v>
      </c>
      <c r="AJ330" s="2" t="s">
        <v>4221</v>
      </c>
      <c r="AK330" s="2" t="s">
        <v>121</v>
      </c>
      <c r="AL330" s="119" t="s">
        <v>3027</v>
      </c>
      <c r="AM330" s="68" t="s">
        <v>4222</v>
      </c>
      <c r="AN330" s="2" t="s">
        <v>122</v>
      </c>
      <c r="AO330" s="7">
        <v>2022</v>
      </c>
      <c r="AP330" s="109" t="s">
        <v>109</v>
      </c>
      <c r="AQ330" s="119" t="b">
        <v>0</v>
      </c>
      <c r="AR330" s="119" t="s">
        <v>109</v>
      </c>
      <c r="AS330" s="119" t="s">
        <v>109</v>
      </c>
      <c r="AT330" s="119" t="s">
        <v>109</v>
      </c>
      <c r="AU330" s="2" t="b">
        <v>0</v>
      </c>
      <c r="AV330" s="2" t="s">
        <v>123</v>
      </c>
      <c r="AW330" s="2" t="s">
        <v>109</v>
      </c>
      <c r="AY330" s="2" t="s">
        <v>109</v>
      </c>
      <c r="AZ330" s="2" t="s">
        <v>109</v>
      </c>
      <c r="BA330" s="2" t="s">
        <v>226</v>
      </c>
      <c r="BB330" s="2" t="s">
        <v>109</v>
      </c>
      <c r="BC330" s="2" t="s">
        <v>666</v>
      </c>
      <c r="BD330" s="68">
        <v>45471</v>
      </c>
      <c r="BE330" s="2" t="s">
        <v>494</v>
      </c>
      <c r="BF330" s="2">
        <v>2024</v>
      </c>
      <c r="BG330" s="2" t="s">
        <v>425</v>
      </c>
      <c r="BH330" s="2" t="s">
        <v>109</v>
      </c>
      <c r="BI330" s="68">
        <v>46097</v>
      </c>
      <c r="BJ330" s="68">
        <v>45657</v>
      </c>
      <c r="BK330" s="68">
        <v>46203</v>
      </c>
      <c r="BL330" s="98" t="s">
        <v>109</v>
      </c>
      <c r="BM330" s="2" t="s">
        <v>109</v>
      </c>
      <c r="BN330" s="7" t="b">
        <v>1</v>
      </c>
      <c r="BO330" s="85">
        <v>7066.8</v>
      </c>
      <c r="BP330" s="2" t="s">
        <v>128</v>
      </c>
      <c r="CF330" s="2">
        <v>2025</v>
      </c>
      <c r="CS330" s="145"/>
      <c r="CU330" s="132" t="s">
        <v>3187</v>
      </c>
      <c r="CW330" s="2" t="s">
        <v>4223</v>
      </c>
      <c r="CX330" s="220" t="s">
        <v>4152</v>
      </c>
    </row>
    <row r="331" spans="1:102" x14ac:dyDescent="0.3">
      <c r="A331" s="4">
        <v>376</v>
      </c>
      <c r="B331" s="44" t="s">
        <v>2198</v>
      </c>
      <c r="C331" s="56" t="s">
        <v>109</v>
      </c>
      <c r="D331" s="4" t="s">
        <v>109</v>
      </c>
      <c r="E331" s="4" t="s">
        <v>109</v>
      </c>
      <c r="F331" s="46" t="s">
        <v>4224</v>
      </c>
      <c r="G331" s="64" t="s">
        <v>661</v>
      </c>
      <c r="H331" s="64" t="s">
        <v>113</v>
      </c>
      <c r="I331" s="64" t="s">
        <v>109</v>
      </c>
      <c r="J331" s="64" t="s">
        <v>109</v>
      </c>
      <c r="K331" s="64" t="s">
        <v>114</v>
      </c>
      <c r="L331" s="64" t="s">
        <v>188</v>
      </c>
      <c r="M331" s="64" t="s">
        <v>109</v>
      </c>
      <c r="N331" s="64" t="s">
        <v>109</v>
      </c>
      <c r="O331" s="4" t="s">
        <v>109</v>
      </c>
      <c r="Q331" s="6" t="s">
        <v>109</v>
      </c>
      <c r="R331" s="64" t="s">
        <v>109</v>
      </c>
      <c r="S331" s="64" t="s">
        <v>109</v>
      </c>
      <c r="T331" s="64" t="s">
        <v>109</v>
      </c>
      <c r="U331" s="4" t="s">
        <v>116</v>
      </c>
      <c r="V331" s="4" t="s">
        <v>3022</v>
      </c>
      <c r="W331" s="4" t="b">
        <v>0</v>
      </c>
      <c r="X331" s="4" t="s">
        <v>109</v>
      </c>
      <c r="Y331" s="4" t="s">
        <v>701</v>
      </c>
      <c r="AA331" s="4" t="s">
        <v>118</v>
      </c>
      <c r="AB331" s="4" t="s">
        <v>118</v>
      </c>
      <c r="AC331" s="4" t="s">
        <v>119</v>
      </c>
      <c r="AD331" s="91" t="s">
        <v>109</v>
      </c>
      <c r="AE331" s="4">
        <v>1.2</v>
      </c>
      <c r="AF331" s="4" t="s">
        <v>3023</v>
      </c>
      <c r="AG331" s="5" t="s">
        <v>4225</v>
      </c>
      <c r="AH331" s="5" t="s">
        <v>3025</v>
      </c>
      <c r="AI331" s="4">
        <v>455</v>
      </c>
      <c r="AJ331" s="4" t="s">
        <v>4226</v>
      </c>
      <c r="AK331" s="4" t="s">
        <v>121</v>
      </c>
      <c r="AL331" s="4" t="s">
        <v>3027</v>
      </c>
      <c r="AM331" s="69">
        <v>45562</v>
      </c>
      <c r="AN331" s="4" t="s">
        <v>122</v>
      </c>
      <c r="AO331" s="4" t="s">
        <v>109</v>
      </c>
      <c r="AP331" s="217" t="s">
        <v>109</v>
      </c>
      <c r="AQ331" s="4" t="b">
        <v>0</v>
      </c>
      <c r="AR331" s="4" t="s">
        <v>109</v>
      </c>
      <c r="AS331" s="4" t="s">
        <v>109</v>
      </c>
      <c r="AT331" s="4" t="s">
        <v>118</v>
      </c>
      <c r="AU331" s="4" t="b">
        <v>0</v>
      </c>
      <c r="AV331" s="4" t="s">
        <v>109</v>
      </c>
      <c r="AW331" s="4" t="s">
        <v>118</v>
      </c>
      <c r="AY331" s="4" t="s">
        <v>109</v>
      </c>
      <c r="AZ331" s="4" t="s">
        <v>109</v>
      </c>
      <c r="BA331" s="4" t="s">
        <v>118</v>
      </c>
      <c r="BB331" s="4" t="s">
        <v>118</v>
      </c>
      <c r="BC331" s="4" t="s">
        <v>109</v>
      </c>
      <c r="BD331" s="69" t="s">
        <v>109</v>
      </c>
      <c r="BE331" s="4" t="s">
        <v>109</v>
      </c>
      <c r="BF331" s="4" t="s">
        <v>109</v>
      </c>
      <c r="BG331" s="4" t="s">
        <v>126</v>
      </c>
      <c r="BH331" s="4" t="s">
        <v>109</v>
      </c>
      <c r="BI331" s="69" t="s">
        <v>109</v>
      </c>
      <c r="BJ331" s="69">
        <v>45657</v>
      </c>
      <c r="BK331" s="69" t="s">
        <v>109</v>
      </c>
      <c r="BL331" s="97" t="s">
        <v>109</v>
      </c>
      <c r="BM331" s="4" t="s">
        <v>109</v>
      </c>
      <c r="BN331" s="4" t="b">
        <v>1</v>
      </c>
      <c r="BO331" s="130" t="s">
        <v>118</v>
      </c>
      <c r="BP331" s="4" t="s">
        <v>128</v>
      </c>
      <c r="CF331" s="4" t="s">
        <v>129</v>
      </c>
      <c r="CS331" s="144"/>
      <c r="CU331" s="216" t="s">
        <v>3187</v>
      </c>
      <c r="CW331" s="4" t="s">
        <v>3029</v>
      </c>
      <c r="CX331" s="39"/>
    </row>
    <row r="332" spans="1:102" ht="39.6" x14ac:dyDescent="0.3">
      <c r="A332" s="2">
        <v>377</v>
      </c>
      <c r="B332" s="43" t="s">
        <v>2201</v>
      </c>
      <c r="C332" s="55">
        <v>32.789000000000001</v>
      </c>
      <c r="D332" s="51">
        <v>-117.142</v>
      </c>
      <c r="E332" s="2" t="s">
        <v>329</v>
      </c>
      <c r="F332" s="47" t="s">
        <v>4227</v>
      </c>
      <c r="G332" s="67" t="s">
        <v>206</v>
      </c>
      <c r="H332" s="67" t="s">
        <v>113</v>
      </c>
      <c r="I332" s="67" t="s">
        <v>109</v>
      </c>
      <c r="J332" s="67" t="s">
        <v>109</v>
      </c>
      <c r="K332" s="67" t="s">
        <v>234</v>
      </c>
      <c r="L332" s="67" t="s">
        <v>188</v>
      </c>
      <c r="M332" s="67" t="s">
        <v>109</v>
      </c>
      <c r="N332" s="67" t="s">
        <v>109</v>
      </c>
      <c r="O332" s="74">
        <v>45363.5</v>
      </c>
      <c r="Q332" s="7" t="s">
        <v>109</v>
      </c>
      <c r="R332" s="67" t="s">
        <v>109</v>
      </c>
      <c r="S332" s="67" t="s">
        <v>109</v>
      </c>
      <c r="T332" s="67" t="s">
        <v>109</v>
      </c>
      <c r="U332" s="2" t="s">
        <v>116</v>
      </c>
      <c r="V332" s="2" t="s">
        <v>3022</v>
      </c>
      <c r="W332" s="2" t="b">
        <v>0</v>
      </c>
      <c r="X332" s="2" t="s">
        <v>109</v>
      </c>
      <c r="Y332" s="2" t="s">
        <v>2148</v>
      </c>
      <c r="AA332" s="2" t="s">
        <v>109</v>
      </c>
      <c r="AB332" s="2" t="s">
        <v>109</v>
      </c>
      <c r="AC332" s="2">
        <v>69</v>
      </c>
      <c r="AD332" s="90" t="s">
        <v>109</v>
      </c>
      <c r="AE332" s="2">
        <v>1.2</v>
      </c>
      <c r="AF332" s="2" t="s">
        <v>4228</v>
      </c>
      <c r="AG332" s="3" t="s">
        <v>4225</v>
      </c>
      <c r="AH332" s="3" t="s">
        <v>4229</v>
      </c>
      <c r="AI332" s="2">
        <v>1</v>
      </c>
      <c r="AJ332" s="2" t="s">
        <v>4226</v>
      </c>
      <c r="AK332" s="2" t="s">
        <v>121</v>
      </c>
      <c r="AL332" s="2" t="s">
        <v>3027</v>
      </c>
      <c r="AM332" s="68">
        <v>44938</v>
      </c>
      <c r="AN332" s="2" t="s">
        <v>122</v>
      </c>
      <c r="AO332" s="2" t="s">
        <v>109</v>
      </c>
      <c r="AP332" s="109" t="s">
        <v>109</v>
      </c>
      <c r="AQ332" s="2" t="b">
        <v>0</v>
      </c>
      <c r="AR332" s="2" t="s">
        <v>109</v>
      </c>
      <c r="AS332" s="2" t="s">
        <v>109</v>
      </c>
      <c r="AT332" s="2" t="s">
        <v>109</v>
      </c>
      <c r="AU332" s="2" t="b">
        <v>0</v>
      </c>
      <c r="AV332" s="2" t="s">
        <v>109</v>
      </c>
      <c r="AW332" s="2" t="s">
        <v>109</v>
      </c>
      <c r="AY332" s="2" t="s">
        <v>109</v>
      </c>
      <c r="AZ332" s="2" t="s">
        <v>109</v>
      </c>
      <c r="BA332" s="2" t="s">
        <v>109</v>
      </c>
      <c r="BB332" s="2" t="s">
        <v>109</v>
      </c>
      <c r="BC332" s="2" t="s">
        <v>135</v>
      </c>
      <c r="BD332" s="2" t="s">
        <v>109</v>
      </c>
      <c r="BE332" s="2" t="s">
        <v>109</v>
      </c>
      <c r="BF332" s="2" t="s">
        <v>109</v>
      </c>
      <c r="BG332" s="2" t="s">
        <v>126</v>
      </c>
      <c r="BH332" s="2" t="s">
        <v>109</v>
      </c>
      <c r="BI332" s="68">
        <v>44963</v>
      </c>
      <c r="BJ332" s="68">
        <v>45291</v>
      </c>
      <c r="BK332" s="68">
        <v>45119</v>
      </c>
      <c r="BL332" s="98" t="s">
        <v>109</v>
      </c>
      <c r="BM332" s="98" t="s">
        <v>109</v>
      </c>
      <c r="BN332" s="2" t="b">
        <v>1</v>
      </c>
      <c r="BO332" s="85" t="s">
        <v>118</v>
      </c>
      <c r="BP332" s="2" t="s">
        <v>128</v>
      </c>
      <c r="CF332" s="7" t="s">
        <v>174</v>
      </c>
      <c r="CS332" s="142" t="s">
        <v>2206</v>
      </c>
      <c r="CU332" s="132" t="s">
        <v>3187</v>
      </c>
      <c r="CW332" s="2" t="s">
        <v>3299</v>
      </c>
      <c r="CX332" s="38"/>
    </row>
    <row r="333" spans="1:102" ht="66" x14ac:dyDescent="0.3">
      <c r="A333" s="4">
        <v>378</v>
      </c>
      <c r="B333" s="44" t="s">
        <v>4230</v>
      </c>
      <c r="C333" s="56" t="s">
        <v>109</v>
      </c>
      <c r="D333" s="4" t="s">
        <v>109</v>
      </c>
      <c r="E333" s="4" t="s">
        <v>109</v>
      </c>
      <c r="F333" s="46" t="s">
        <v>4231</v>
      </c>
      <c r="G333" s="64" t="s">
        <v>186</v>
      </c>
      <c r="H333" s="64" t="s">
        <v>113</v>
      </c>
      <c r="I333" s="64" t="s">
        <v>240</v>
      </c>
      <c r="J333" s="64" t="s">
        <v>109</v>
      </c>
      <c r="K333" s="64" t="s">
        <v>1728</v>
      </c>
      <c r="L333" s="64" t="s">
        <v>663</v>
      </c>
      <c r="M333" s="64" t="s">
        <v>109</v>
      </c>
      <c r="N333" s="64" t="s">
        <v>109</v>
      </c>
      <c r="O333" s="66">
        <v>45325.5</v>
      </c>
      <c r="Q333" s="6" t="s">
        <v>109</v>
      </c>
      <c r="R333" s="64" t="s">
        <v>109</v>
      </c>
      <c r="S333" s="64" t="s">
        <v>109</v>
      </c>
      <c r="T333" s="64" t="s">
        <v>109</v>
      </c>
      <c r="U333" s="4" t="s">
        <v>404</v>
      </c>
      <c r="V333" s="4" t="s">
        <v>918</v>
      </c>
      <c r="W333" s="4" t="b">
        <v>0</v>
      </c>
      <c r="X333" s="4" t="s">
        <v>109</v>
      </c>
      <c r="Y333" s="4" t="s">
        <v>2148</v>
      </c>
      <c r="AA333" s="4" t="s">
        <v>109</v>
      </c>
      <c r="AB333" s="4" t="s">
        <v>109</v>
      </c>
      <c r="AC333" s="4" t="s">
        <v>119</v>
      </c>
      <c r="AD333" s="91" t="s">
        <v>109</v>
      </c>
      <c r="AE333" s="4">
        <v>1.2</v>
      </c>
      <c r="AF333" s="4" t="s">
        <v>3023</v>
      </c>
      <c r="AG333" s="5" t="s">
        <v>4225</v>
      </c>
      <c r="AH333" s="5" t="s">
        <v>4232</v>
      </c>
      <c r="AI333" s="4">
        <v>3</v>
      </c>
      <c r="AJ333" s="4" t="s">
        <v>4226</v>
      </c>
      <c r="AK333" s="4" t="s">
        <v>121</v>
      </c>
      <c r="AL333" s="4" t="s">
        <v>3027</v>
      </c>
      <c r="AM333" s="69">
        <v>45292</v>
      </c>
      <c r="AN333" s="4" t="s">
        <v>122</v>
      </c>
      <c r="AO333" s="4" t="s">
        <v>109</v>
      </c>
      <c r="AP333" s="217" t="s">
        <v>109</v>
      </c>
      <c r="AQ333" s="4" t="b">
        <v>0</v>
      </c>
      <c r="AR333" s="4" t="s">
        <v>109</v>
      </c>
      <c r="AS333" s="4" t="s">
        <v>109</v>
      </c>
      <c r="AT333" s="4" t="s">
        <v>109</v>
      </c>
      <c r="AU333" s="4" t="b">
        <v>0</v>
      </c>
      <c r="AV333" s="4" t="s">
        <v>109</v>
      </c>
      <c r="AW333" s="4" t="s">
        <v>109</v>
      </c>
      <c r="AY333" s="4" t="s">
        <v>109</v>
      </c>
      <c r="AZ333" s="4" t="s">
        <v>109</v>
      </c>
      <c r="BA333" s="4" t="s">
        <v>109</v>
      </c>
      <c r="BB333" s="4" t="s">
        <v>109</v>
      </c>
      <c r="BC333" s="4" t="s">
        <v>109</v>
      </c>
      <c r="BD333" s="4" t="s">
        <v>109</v>
      </c>
      <c r="BE333" s="4" t="s">
        <v>109</v>
      </c>
      <c r="BF333" s="4" t="s">
        <v>109</v>
      </c>
      <c r="BG333" s="4" t="s">
        <v>126</v>
      </c>
      <c r="BH333" s="4" t="s">
        <v>109</v>
      </c>
      <c r="BI333" s="69" t="s">
        <v>109</v>
      </c>
      <c r="BJ333" s="69">
        <v>45657</v>
      </c>
      <c r="BK333" s="69" t="s">
        <v>109</v>
      </c>
      <c r="BL333" s="97" t="s">
        <v>109</v>
      </c>
      <c r="BM333" s="97" t="s">
        <v>109</v>
      </c>
      <c r="BN333" s="4" t="b">
        <v>1</v>
      </c>
      <c r="BO333" s="130" t="s">
        <v>118</v>
      </c>
      <c r="BP333" s="4" t="s">
        <v>128</v>
      </c>
      <c r="CF333" s="6" t="s">
        <v>528</v>
      </c>
      <c r="CS333" s="143" t="s">
        <v>2209</v>
      </c>
      <c r="CU333" s="216" t="s">
        <v>3187</v>
      </c>
      <c r="CW333" s="4" t="s">
        <v>3867</v>
      </c>
      <c r="CX333" s="39"/>
    </row>
    <row r="334" spans="1:102" ht="184.8" x14ac:dyDescent="0.3">
      <c r="A334" s="2">
        <v>379</v>
      </c>
      <c r="B334" s="43" t="s">
        <v>2211</v>
      </c>
      <c r="C334" s="52" t="s">
        <v>109</v>
      </c>
      <c r="D334" s="2" t="s">
        <v>109</v>
      </c>
      <c r="E334" s="7" t="s">
        <v>109</v>
      </c>
      <c r="F334" s="47" t="s">
        <v>4233</v>
      </c>
      <c r="G334" s="2" t="s">
        <v>240</v>
      </c>
      <c r="H334" s="2" t="s">
        <v>112</v>
      </c>
      <c r="I334" s="2" t="s">
        <v>240</v>
      </c>
      <c r="J334" s="2" t="s">
        <v>109</v>
      </c>
      <c r="K334" s="67" t="s">
        <v>356</v>
      </c>
      <c r="L334" s="67" t="s">
        <v>357</v>
      </c>
      <c r="M334" s="2" t="s">
        <v>706</v>
      </c>
      <c r="N334" s="2" t="s">
        <v>706</v>
      </c>
      <c r="O334" s="2" t="s">
        <v>109</v>
      </c>
      <c r="Q334" s="2" t="s">
        <v>109</v>
      </c>
      <c r="R334" s="2" t="s">
        <v>109</v>
      </c>
      <c r="S334" s="2" t="s">
        <v>2213</v>
      </c>
      <c r="T334" s="2" t="s">
        <v>109</v>
      </c>
      <c r="U334" s="2" t="s">
        <v>119</v>
      </c>
      <c r="V334" s="2" t="s">
        <v>3022</v>
      </c>
      <c r="W334" s="2" t="b">
        <v>0</v>
      </c>
      <c r="X334" s="2" t="s">
        <v>109</v>
      </c>
      <c r="Y334" s="2" t="s">
        <v>2210</v>
      </c>
      <c r="AA334" s="2" t="s">
        <v>118</v>
      </c>
      <c r="AB334" s="2" t="s">
        <v>109</v>
      </c>
      <c r="AC334" s="2" t="s">
        <v>2215</v>
      </c>
      <c r="AD334" s="2" t="s">
        <v>2216</v>
      </c>
      <c r="AE334" s="2">
        <v>2.1</v>
      </c>
      <c r="AF334" s="2" t="s">
        <v>3023</v>
      </c>
      <c r="AG334" s="3" t="s">
        <v>4234</v>
      </c>
      <c r="AH334" s="3" t="s">
        <v>3025</v>
      </c>
      <c r="AI334" s="2">
        <v>120</v>
      </c>
      <c r="AJ334" s="2" t="s">
        <v>4235</v>
      </c>
      <c r="AK334" s="2" t="s">
        <v>121</v>
      </c>
      <c r="AL334" s="2" t="s">
        <v>3027</v>
      </c>
      <c r="AM334" s="68">
        <v>45258</v>
      </c>
      <c r="AN334" s="2" t="s">
        <v>122</v>
      </c>
      <c r="AO334" s="2" t="s">
        <v>109</v>
      </c>
      <c r="AP334" s="109" t="s">
        <v>109</v>
      </c>
      <c r="AQ334" s="2" t="b">
        <v>0</v>
      </c>
      <c r="AR334" s="2" t="s">
        <v>109</v>
      </c>
      <c r="AS334" s="2" t="s">
        <v>109</v>
      </c>
      <c r="AT334" s="2" t="s">
        <v>118</v>
      </c>
      <c r="AU334" s="2" t="b">
        <v>1</v>
      </c>
      <c r="AV334" s="2" t="s">
        <v>109</v>
      </c>
      <c r="AW334" s="2" t="s">
        <v>118</v>
      </c>
      <c r="AY334" s="2" t="s">
        <v>109</v>
      </c>
      <c r="AZ334" s="2" t="s">
        <v>109</v>
      </c>
      <c r="BA334" s="2" t="s">
        <v>118</v>
      </c>
      <c r="BB334" s="2" t="s">
        <v>118</v>
      </c>
      <c r="BC334" s="2" t="s">
        <v>109</v>
      </c>
      <c r="BD334" s="68" t="s">
        <v>109</v>
      </c>
      <c r="BE334" s="7" t="s">
        <v>2892</v>
      </c>
      <c r="BF334" s="2" t="s">
        <v>109</v>
      </c>
      <c r="BG334" s="2" t="s">
        <v>296</v>
      </c>
      <c r="BH334" s="2" t="s">
        <v>109</v>
      </c>
      <c r="BI334" s="68" t="s">
        <v>109</v>
      </c>
      <c r="BJ334" s="68">
        <v>45657</v>
      </c>
      <c r="BK334" s="68" t="s">
        <v>119</v>
      </c>
      <c r="BL334" s="98" t="s">
        <v>109</v>
      </c>
      <c r="BM334" s="2" t="s">
        <v>240</v>
      </c>
      <c r="BN334" s="2" t="b">
        <v>1</v>
      </c>
      <c r="BO334" s="85" t="s">
        <v>118</v>
      </c>
      <c r="BP334" s="2" t="s">
        <v>128</v>
      </c>
      <c r="CF334" s="2" t="s">
        <v>129</v>
      </c>
      <c r="CS334" s="151" t="s">
        <v>4236</v>
      </c>
      <c r="CU334" s="132" t="s">
        <v>3060</v>
      </c>
      <c r="CW334" s="2" t="s">
        <v>3029</v>
      </c>
      <c r="CX334" s="38"/>
    </row>
    <row r="335" spans="1:102" ht="198" x14ac:dyDescent="0.3">
      <c r="A335" s="4">
        <v>380</v>
      </c>
      <c r="B335" s="44" t="s">
        <v>2220</v>
      </c>
      <c r="C335" s="53">
        <v>33.531999999999996</v>
      </c>
      <c r="D335" s="53">
        <v>-117.67700000000001</v>
      </c>
      <c r="E335" s="4" t="s">
        <v>1888</v>
      </c>
      <c r="F335" s="46" t="s">
        <v>2221</v>
      </c>
      <c r="G335" s="64" t="s">
        <v>111</v>
      </c>
      <c r="H335" s="64" t="s">
        <v>112</v>
      </c>
      <c r="I335" s="64" t="s">
        <v>109</v>
      </c>
      <c r="J335" s="64" t="s">
        <v>109</v>
      </c>
      <c r="K335" s="64" t="s">
        <v>356</v>
      </c>
      <c r="L335" s="64" t="s">
        <v>486</v>
      </c>
      <c r="M335" s="64" t="s">
        <v>706</v>
      </c>
      <c r="N335" s="64" t="s">
        <v>706</v>
      </c>
      <c r="O335" s="66">
        <v>45351</v>
      </c>
      <c r="Q335" s="6" t="s">
        <v>109</v>
      </c>
      <c r="R335" s="64" t="s">
        <v>109</v>
      </c>
      <c r="S335" s="64" t="s">
        <v>109</v>
      </c>
      <c r="T335" s="64" t="s">
        <v>109</v>
      </c>
      <c r="U335" s="4" t="s">
        <v>116</v>
      </c>
      <c r="V335" s="6" t="s">
        <v>3022</v>
      </c>
      <c r="W335" s="4" t="b">
        <v>0</v>
      </c>
      <c r="X335" s="6" t="s">
        <v>109</v>
      </c>
      <c r="Y335" s="6" t="s">
        <v>1493</v>
      </c>
      <c r="AA335" s="4" t="s">
        <v>109</v>
      </c>
      <c r="AB335" s="4">
        <v>4.78</v>
      </c>
      <c r="AC335" s="4">
        <v>138</v>
      </c>
      <c r="AD335" s="4" t="s">
        <v>1313</v>
      </c>
      <c r="AE335" s="4">
        <v>2.1</v>
      </c>
      <c r="AF335" s="4" t="s">
        <v>4237</v>
      </c>
      <c r="AG335" s="5" t="s">
        <v>4234</v>
      </c>
      <c r="AH335" s="5" t="s">
        <v>4238</v>
      </c>
      <c r="AI335" s="4">
        <v>1</v>
      </c>
      <c r="AJ335" s="4" t="s">
        <v>4235</v>
      </c>
      <c r="AK335" s="4" t="s">
        <v>121</v>
      </c>
      <c r="AL335" s="4" t="s">
        <v>3027</v>
      </c>
      <c r="AM335" s="69">
        <v>44442</v>
      </c>
      <c r="AN335" s="4" t="s">
        <v>122</v>
      </c>
      <c r="AO335" s="4" t="s">
        <v>109</v>
      </c>
      <c r="AP335" s="217" t="s">
        <v>109</v>
      </c>
      <c r="AQ335" s="4" t="b">
        <v>0</v>
      </c>
      <c r="AR335" s="4" t="s">
        <v>109</v>
      </c>
      <c r="AS335" s="4" t="s">
        <v>109</v>
      </c>
      <c r="AT335" s="4" t="s">
        <v>109</v>
      </c>
      <c r="AU335" s="4" t="b">
        <v>1</v>
      </c>
      <c r="AV335" s="4" t="s">
        <v>109</v>
      </c>
      <c r="AW335" s="4" t="s">
        <v>109</v>
      </c>
      <c r="AY335" s="4" t="s">
        <v>109</v>
      </c>
      <c r="AZ335" s="4" t="s">
        <v>109</v>
      </c>
      <c r="BA335" s="4" t="s">
        <v>109</v>
      </c>
      <c r="BB335" s="4" t="s">
        <v>109</v>
      </c>
      <c r="BC335" s="4" t="s">
        <v>135</v>
      </c>
      <c r="BD335" s="4" t="s">
        <v>109</v>
      </c>
      <c r="BE335" s="4" t="s">
        <v>2892</v>
      </c>
      <c r="BF335" s="4" t="s">
        <v>109</v>
      </c>
      <c r="BG335" s="4" t="s">
        <v>425</v>
      </c>
      <c r="BH335" s="4" t="s">
        <v>109</v>
      </c>
      <c r="BI335" s="69">
        <v>46072</v>
      </c>
      <c r="BJ335" s="69">
        <v>46783</v>
      </c>
      <c r="BK335" s="69">
        <v>46301</v>
      </c>
      <c r="BL335" s="97" t="s">
        <v>2226</v>
      </c>
      <c r="BM335" s="97" t="s">
        <v>2226</v>
      </c>
      <c r="BN335" s="97" t="b">
        <v>0</v>
      </c>
      <c r="BO335" s="130" t="s">
        <v>118</v>
      </c>
      <c r="BP335" s="4" t="s">
        <v>128</v>
      </c>
      <c r="CF335" s="4" t="s">
        <v>109</v>
      </c>
      <c r="CS335" s="148" t="s">
        <v>4239</v>
      </c>
      <c r="CU335" s="216" t="s">
        <v>3060</v>
      </c>
      <c r="CW335" s="4" t="s">
        <v>4240</v>
      </c>
      <c r="CX335" s="39"/>
    </row>
    <row r="336" spans="1:102" x14ac:dyDescent="0.3">
      <c r="A336" s="2">
        <v>381</v>
      </c>
      <c r="B336" s="43" t="s">
        <v>2228</v>
      </c>
      <c r="C336" s="51">
        <v>33.453000000000003</v>
      </c>
      <c r="D336" s="51">
        <v>-117.571</v>
      </c>
      <c r="E336" s="2" t="s">
        <v>923</v>
      </c>
      <c r="F336" s="47" t="s">
        <v>4241</v>
      </c>
      <c r="G336" s="67" t="s">
        <v>111</v>
      </c>
      <c r="H336" s="67" t="s">
        <v>113</v>
      </c>
      <c r="I336" s="67" t="s">
        <v>113</v>
      </c>
      <c r="J336" s="7" t="s">
        <v>109</v>
      </c>
      <c r="K336" s="67" t="s">
        <v>356</v>
      </c>
      <c r="L336" s="67" t="s">
        <v>357</v>
      </c>
      <c r="M336" s="67" t="s">
        <v>706</v>
      </c>
      <c r="N336" s="67" t="s">
        <v>706</v>
      </c>
      <c r="O336" s="68">
        <v>45589</v>
      </c>
      <c r="Q336" s="67" t="s">
        <v>109</v>
      </c>
      <c r="R336" s="67" t="s">
        <v>109</v>
      </c>
      <c r="S336" s="67" t="s">
        <v>109</v>
      </c>
      <c r="T336" s="67" t="s">
        <v>109</v>
      </c>
      <c r="U336" s="2" t="s">
        <v>404</v>
      </c>
      <c r="V336" s="2" t="s">
        <v>3022</v>
      </c>
      <c r="W336" s="2" t="b">
        <v>0</v>
      </c>
      <c r="X336" s="2" t="s">
        <v>109</v>
      </c>
      <c r="Y336" s="2" t="s">
        <v>2210</v>
      </c>
      <c r="AA336" s="2" t="s">
        <v>109</v>
      </c>
      <c r="AB336" s="2">
        <v>6.92</v>
      </c>
      <c r="AC336" s="2">
        <v>138</v>
      </c>
      <c r="AD336" s="2" t="s">
        <v>1313</v>
      </c>
      <c r="AE336" s="2">
        <v>2.1</v>
      </c>
      <c r="AF336" s="2" t="s">
        <v>4242</v>
      </c>
      <c r="AG336" s="3" t="s">
        <v>4234</v>
      </c>
      <c r="AH336" s="3" t="s">
        <v>4243</v>
      </c>
      <c r="AI336" s="2">
        <v>1</v>
      </c>
      <c r="AJ336" s="2" t="s">
        <v>4235</v>
      </c>
      <c r="AK336" s="2" t="s">
        <v>121</v>
      </c>
      <c r="AL336" s="2" t="s">
        <v>3027</v>
      </c>
      <c r="AM336" s="68">
        <v>44495</v>
      </c>
      <c r="AN336" s="2" t="s">
        <v>122</v>
      </c>
      <c r="AO336" s="2" t="s">
        <v>109</v>
      </c>
      <c r="AP336" s="109" t="s">
        <v>109</v>
      </c>
      <c r="AQ336" s="2" t="b">
        <v>0</v>
      </c>
      <c r="AR336" s="2" t="s">
        <v>109</v>
      </c>
      <c r="AS336" s="2" t="s">
        <v>109</v>
      </c>
      <c r="AT336" s="2" t="s">
        <v>109</v>
      </c>
      <c r="AU336" s="2" t="b">
        <v>1</v>
      </c>
      <c r="AV336" s="2" t="s">
        <v>109</v>
      </c>
      <c r="AW336" s="2" t="s">
        <v>109</v>
      </c>
      <c r="AY336" s="2" t="s">
        <v>109</v>
      </c>
      <c r="AZ336" s="2" t="s">
        <v>109</v>
      </c>
      <c r="BA336" s="2" t="s">
        <v>109</v>
      </c>
      <c r="BB336" s="2" t="s">
        <v>109</v>
      </c>
      <c r="BC336" s="2" t="s">
        <v>135</v>
      </c>
      <c r="BD336" s="2" t="s">
        <v>109</v>
      </c>
      <c r="BE336" s="2" t="s">
        <v>2892</v>
      </c>
      <c r="BF336" s="2" t="s">
        <v>109</v>
      </c>
      <c r="BG336" s="2" t="s">
        <v>150</v>
      </c>
      <c r="BH336" s="2" t="s">
        <v>109</v>
      </c>
      <c r="BI336" s="68">
        <v>45572</v>
      </c>
      <c r="BJ336" s="68">
        <v>45992</v>
      </c>
      <c r="BK336" s="68" t="s">
        <v>123</v>
      </c>
      <c r="BL336" s="98" t="s">
        <v>2226</v>
      </c>
      <c r="BM336" s="98" t="s">
        <v>2226</v>
      </c>
      <c r="BN336" s="98" t="b">
        <v>0</v>
      </c>
      <c r="BO336" s="85" t="s">
        <v>118</v>
      </c>
      <c r="BP336" s="2" t="s">
        <v>128</v>
      </c>
      <c r="CF336" s="2" t="s">
        <v>109</v>
      </c>
      <c r="CS336" s="142" t="s">
        <v>2381</v>
      </c>
      <c r="CU336" s="132" t="s">
        <v>3060</v>
      </c>
      <c r="CW336" s="2" t="s">
        <v>3550</v>
      </c>
      <c r="CX336" s="38"/>
    </row>
    <row r="337" spans="1:102" x14ac:dyDescent="0.3">
      <c r="A337" s="4">
        <v>382</v>
      </c>
      <c r="B337" s="44" t="s">
        <v>2235</v>
      </c>
      <c r="C337" s="53">
        <v>32.573999999999998</v>
      </c>
      <c r="D337" s="53">
        <v>-116.914</v>
      </c>
      <c r="E337" s="4" t="s">
        <v>191</v>
      </c>
      <c r="F337" s="46" t="s">
        <v>2236</v>
      </c>
      <c r="G337" s="64" t="s">
        <v>233</v>
      </c>
      <c r="H337" s="64" t="s">
        <v>112</v>
      </c>
      <c r="I337" s="64" t="s">
        <v>112</v>
      </c>
      <c r="J337" s="64" t="s">
        <v>109</v>
      </c>
      <c r="K337" s="64" t="s">
        <v>356</v>
      </c>
      <c r="L337" s="64" t="s">
        <v>207</v>
      </c>
      <c r="M337" s="64" t="s">
        <v>706</v>
      </c>
      <c r="N337" s="64" t="s">
        <v>706</v>
      </c>
      <c r="O337" s="69">
        <v>45588</v>
      </c>
      <c r="Q337" s="64" t="s">
        <v>109</v>
      </c>
      <c r="R337" s="64" t="s">
        <v>109</v>
      </c>
      <c r="S337" s="64" t="s">
        <v>109</v>
      </c>
      <c r="T337" s="64" t="s">
        <v>109</v>
      </c>
      <c r="U337" s="4" t="s">
        <v>404</v>
      </c>
      <c r="V337" s="4" t="s">
        <v>117</v>
      </c>
      <c r="W337" s="4" t="b">
        <v>0</v>
      </c>
      <c r="X337" s="4" t="s">
        <v>109</v>
      </c>
      <c r="Y337" s="4" t="s">
        <v>1361</v>
      </c>
      <c r="AA337" s="4" t="s">
        <v>109</v>
      </c>
      <c r="AB337" s="4">
        <v>32.81</v>
      </c>
      <c r="AC337" s="4">
        <v>230</v>
      </c>
      <c r="AD337" s="4" t="s">
        <v>109</v>
      </c>
      <c r="AE337" s="4">
        <v>2.1</v>
      </c>
      <c r="AF337" s="4" t="s">
        <v>4244</v>
      </c>
      <c r="AG337" s="5" t="s">
        <v>4234</v>
      </c>
      <c r="AH337" s="5" t="s">
        <v>4245</v>
      </c>
      <c r="AI337" s="4">
        <v>1</v>
      </c>
      <c r="AJ337" s="4" t="s">
        <v>4235</v>
      </c>
      <c r="AK337" s="4" t="s">
        <v>121</v>
      </c>
      <c r="AL337" s="4" t="s">
        <v>3027</v>
      </c>
      <c r="AM337" s="69">
        <v>44036</v>
      </c>
      <c r="AN337" s="4" t="s">
        <v>122</v>
      </c>
      <c r="AO337" s="4" t="s">
        <v>109</v>
      </c>
      <c r="AP337" s="217" t="s">
        <v>109</v>
      </c>
      <c r="AQ337" s="4" t="b">
        <v>0</v>
      </c>
      <c r="AR337" s="4" t="s">
        <v>109</v>
      </c>
      <c r="AS337" s="4" t="s">
        <v>109</v>
      </c>
      <c r="AT337" s="4" t="s">
        <v>109</v>
      </c>
      <c r="AU337" s="4" t="b">
        <v>1</v>
      </c>
      <c r="AV337" s="4" t="s">
        <v>109</v>
      </c>
      <c r="AW337" s="4" t="s">
        <v>109</v>
      </c>
      <c r="AY337" s="4" t="s">
        <v>109</v>
      </c>
      <c r="AZ337" s="4" t="s">
        <v>109</v>
      </c>
      <c r="BA337" s="4" t="s">
        <v>109</v>
      </c>
      <c r="BB337" s="4" t="s">
        <v>109</v>
      </c>
      <c r="BC337" s="4" t="s">
        <v>135</v>
      </c>
      <c r="BD337" s="4" t="s">
        <v>109</v>
      </c>
      <c r="BE337" s="4" t="s">
        <v>109</v>
      </c>
      <c r="BF337" s="4" t="s">
        <v>109</v>
      </c>
      <c r="BG337" s="4" t="s">
        <v>126</v>
      </c>
      <c r="BH337" s="4" t="s">
        <v>109</v>
      </c>
      <c r="BI337" s="69" t="s">
        <v>2238</v>
      </c>
      <c r="BJ337" s="69">
        <v>43955</v>
      </c>
      <c r="BK337" s="69">
        <v>43979</v>
      </c>
      <c r="BL337" s="97" t="s">
        <v>4246</v>
      </c>
      <c r="BM337" s="97" t="s">
        <v>109</v>
      </c>
      <c r="BN337" s="4" t="b">
        <v>1</v>
      </c>
      <c r="BO337" s="130" t="s">
        <v>118</v>
      </c>
      <c r="BP337" s="4" t="s">
        <v>128</v>
      </c>
      <c r="CF337" s="4" t="s">
        <v>683</v>
      </c>
      <c r="CS337" s="144"/>
      <c r="CU337" s="216" t="s">
        <v>3060</v>
      </c>
      <c r="CW337" s="4" t="s">
        <v>4247</v>
      </c>
      <c r="CX337" s="39"/>
    </row>
    <row r="338" spans="1:102" ht="132" x14ac:dyDescent="0.3">
      <c r="A338" s="2">
        <v>383</v>
      </c>
      <c r="B338" s="43" t="s">
        <v>2240</v>
      </c>
      <c r="C338" s="51">
        <v>32.661999999999999</v>
      </c>
      <c r="D338" s="51">
        <v>-116.27200000000001</v>
      </c>
      <c r="E338" s="2" t="s">
        <v>191</v>
      </c>
      <c r="F338" s="47" t="s">
        <v>2241</v>
      </c>
      <c r="G338" s="7" t="s">
        <v>240</v>
      </c>
      <c r="H338" s="7" t="s">
        <v>112</v>
      </c>
      <c r="I338" s="7" t="s">
        <v>109</v>
      </c>
      <c r="J338" s="7" t="s">
        <v>109</v>
      </c>
      <c r="K338" s="7" t="s">
        <v>356</v>
      </c>
      <c r="L338" s="7" t="s">
        <v>357</v>
      </c>
      <c r="M338" s="7" t="s">
        <v>109</v>
      </c>
      <c r="N338" s="7" t="s">
        <v>109</v>
      </c>
      <c r="O338" s="76">
        <v>45316.5</v>
      </c>
      <c r="Q338" s="7" t="s">
        <v>109</v>
      </c>
      <c r="R338" s="7" t="s">
        <v>109</v>
      </c>
      <c r="S338" s="7" t="s">
        <v>109</v>
      </c>
      <c r="T338" s="7" t="s">
        <v>109</v>
      </c>
      <c r="U338" s="2" t="s">
        <v>404</v>
      </c>
      <c r="V338" s="2" t="s">
        <v>117</v>
      </c>
      <c r="W338" s="2" t="b">
        <v>0</v>
      </c>
      <c r="X338" s="2" t="s">
        <v>109</v>
      </c>
      <c r="Y338" s="2" t="s">
        <v>685</v>
      </c>
      <c r="AA338" s="2" t="s">
        <v>109</v>
      </c>
      <c r="AB338" s="2">
        <v>1.94</v>
      </c>
      <c r="AC338" s="2">
        <v>138</v>
      </c>
      <c r="AD338" s="2" t="s">
        <v>1313</v>
      </c>
      <c r="AE338" s="2">
        <v>2.1</v>
      </c>
      <c r="AF338" s="2" t="s">
        <v>4248</v>
      </c>
      <c r="AG338" s="3" t="s">
        <v>4234</v>
      </c>
      <c r="AH338" s="3" t="s">
        <v>4249</v>
      </c>
      <c r="AI338" s="2">
        <v>1</v>
      </c>
      <c r="AJ338" s="2" t="s">
        <v>4235</v>
      </c>
      <c r="AK338" s="2" t="s">
        <v>121</v>
      </c>
      <c r="AL338" s="2" t="s">
        <v>3027</v>
      </c>
      <c r="AM338" s="68">
        <v>44039</v>
      </c>
      <c r="AN338" s="2" t="s">
        <v>122</v>
      </c>
      <c r="AO338" s="2" t="s">
        <v>109</v>
      </c>
      <c r="AP338" s="109" t="s">
        <v>109</v>
      </c>
      <c r="AQ338" s="2" t="b">
        <v>0</v>
      </c>
      <c r="AR338" s="2" t="s">
        <v>109</v>
      </c>
      <c r="AS338" s="2" t="s">
        <v>109</v>
      </c>
      <c r="AT338" s="2" t="s">
        <v>109</v>
      </c>
      <c r="AU338" s="2" t="b">
        <v>1</v>
      </c>
      <c r="AV338" s="2" t="s">
        <v>109</v>
      </c>
      <c r="AW338" s="2" t="s">
        <v>109</v>
      </c>
      <c r="AY338" s="2" t="s">
        <v>109</v>
      </c>
      <c r="AZ338" s="2" t="s">
        <v>109</v>
      </c>
      <c r="BA338" s="2" t="s">
        <v>109</v>
      </c>
      <c r="BB338" s="2" t="s">
        <v>109</v>
      </c>
      <c r="BC338" s="2" t="s">
        <v>666</v>
      </c>
      <c r="BD338" s="2" t="s">
        <v>2244</v>
      </c>
      <c r="BE338" s="2" t="s">
        <v>125</v>
      </c>
      <c r="BF338" s="2">
        <v>2027</v>
      </c>
      <c r="BG338" s="2" t="s">
        <v>546</v>
      </c>
      <c r="BH338" s="2" t="s">
        <v>109</v>
      </c>
      <c r="BI338" s="68">
        <v>45931</v>
      </c>
      <c r="BJ338" s="68">
        <v>44835</v>
      </c>
      <c r="BK338" s="68">
        <v>46235</v>
      </c>
      <c r="BL338" s="98" t="s">
        <v>109</v>
      </c>
      <c r="BM338" s="98" t="s">
        <v>109</v>
      </c>
      <c r="BN338" s="98" t="b">
        <v>0</v>
      </c>
      <c r="BO338" s="85" t="s">
        <v>118</v>
      </c>
      <c r="BP338" s="2" t="s">
        <v>128</v>
      </c>
      <c r="CF338" s="2" t="s">
        <v>109</v>
      </c>
      <c r="CS338" s="142" t="s">
        <v>4250</v>
      </c>
      <c r="CU338" s="132" t="s">
        <v>3060</v>
      </c>
      <c r="CW338" s="2" t="s">
        <v>4251</v>
      </c>
      <c r="CX338" s="38"/>
    </row>
    <row r="339" spans="1:102" x14ac:dyDescent="0.3">
      <c r="A339" s="4">
        <v>384</v>
      </c>
      <c r="B339" s="44" t="s">
        <v>2251</v>
      </c>
      <c r="C339" s="53">
        <v>32.875999999999998</v>
      </c>
      <c r="D339" s="53">
        <v>-117.166</v>
      </c>
      <c r="E339" s="4" t="s">
        <v>191</v>
      </c>
      <c r="F339" s="46" t="s">
        <v>2252</v>
      </c>
      <c r="G339" s="64" t="s">
        <v>233</v>
      </c>
      <c r="H339" s="64" t="s">
        <v>112</v>
      </c>
      <c r="I339" s="64" t="s">
        <v>112</v>
      </c>
      <c r="J339" s="64" t="s">
        <v>109</v>
      </c>
      <c r="K339" s="64" t="s">
        <v>356</v>
      </c>
      <c r="L339" s="64" t="s">
        <v>207</v>
      </c>
      <c r="M339" s="64" t="s">
        <v>706</v>
      </c>
      <c r="N339" s="64" t="s">
        <v>706</v>
      </c>
      <c r="O339" s="69">
        <v>45567</v>
      </c>
      <c r="Q339" s="64" t="s">
        <v>109</v>
      </c>
      <c r="R339" s="64" t="s">
        <v>109</v>
      </c>
      <c r="S339" s="64" t="s">
        <v>109</v>
      </c>
      <c r="T339" s="64" t="s">
        <v>109</v>
      </c>
      <c r="U339" s="4" t="s">
        <v>404</v>
      </c>
      <c r="V339" s="4" t="s">
        <v>117</v>
      </c>
      <c r="W339" s="4" t="b">
        <v>0</v>
      </c>
      <c r="X339" s="4" t="s">
        <v>109</v>
      </c>
      <c r="Y339" s="4" t="s">
        <v>1361</v>
      </c>
      <c r="AA339" s="4" t="s">
        <v>109</v>
      </c>
      <c r="AB339" s="4">
        <v>0.23</v>
      </c>
      <c r="AC339" s="4">
        <v>69</v>
      </c>
      <c r="AD339" s="4" t="s">
        <v>109</v>
      </c>
      <c r="AE339" s="4">
        <v>2.1</v>
      </c>
      <c r="AF339" s="4" t="s">
        <v>4252</v>
      </c>
      <c r="AG339" s="5" t="s">
        <v>4234</v>
      </c>
      <c r="AH339" s="5" t="s">
        <v>4253</v>
      </c>
      <c r="AI339" s="4">
        <v>1</v>
      </c>
      <c r="AJ339" s="4" t="s">
        <v>4235</v>
      </c>
      <c r="AK339" s="4" t="s">
        <v>121</v>
      </c>
      <c r="AL339" s="4" t="s">
        <v>3027</v>
      </c>
      <c r="AM339" s="69">
        <v>43236</v>
      </c>
      <c r="AN339" s="4" t="s">
        <v>122</v>
      </c>
      <c r="AO339" s="4" t="s">
        <v>109</v>
      </c>
      <c r="AP339" s="217" t="s">
        <v>109</v>
      </c>
      <c r="AQ339" s="4" t="b">
        <v>0</v>
      </c>
      <c r="AR339" s="4" t="s">
        <v>109</v>
      </c>
      <c r="AS339" s="4" t="s">
        <v>109</v>
      </c>
      <c r="AT339" s="4" t="s">
        <v>109</v>
      </c>
      <c r="AU339" s="4" t="b">
        <v>1</v>
      </c>
      <c r="AV339" s="4" t="s">
        <v>109</v>
      </c>
      <c r="AW339" s="4" t="s">
        <v>109</v>
      </c>
      <c r="AY339" s="4" t="s">
        <v>109</v>
      </c>
      <c r="AZ339" s="4" t="s">
        <v>109</v>
      </c>
      <c r="BA339" s="4" t="s">
        <v>109</v>
      </c>
      <c r="BB339" s="4" t="s">
        <v>109</v>
      </c>
      <c r="BC339" s="4" t="s">
        <v>135</v>
      </c>
      <c r="BD339" s="4" t="s">
        <v>109</v>
      </c>
      <c r="BE339" s="4" t="s">
        <v>109</v>
      </c>
      <c r="BF339" s="4" t="s">
        <v>109</v>
      </c>
      <c r="BG339" s="4" t="s">
        <v>126</v>
      </c>
      <c r="BH339" s="4" t="s">
        <v>109</v>
      </c>
      <c r="BI339" s="75">
        <v>43598</v>
      </c>
      <c r="BJ339" s="69">
        <v>43800</v>
      </c>
      <c r="BK339" s="75">
        <v>44034</v>
      </c>
      <c r="BL339" s="97" t="s">
        <v>109</v>
      </c>
      <c r="BM339" s="97" t="s">
        <v>109</v>
      </c>
      <c r="BN339" s="97" t="b">
        <v>0</v>
      </c>
      <c r="BO339" s="130" t="s">
        <v>118</v>
      </c>
      <c r="BP339" s="4" t="s">
        <v>128</v>
      </c>
      <c r="CF339" s="4" t="s">
        <v>189</v>
      </c>
      <c r="CS339" s="144"/>
      <c r="CU339" s="216" t="s">
        <v>3060</v>
      </c>
      <c r="CW339" s="4" t="s">
        <v>3144</v>
      </c>
      <c r="CX339" s="39"/>
    </row>
    <row r="340" spans="1:102" ht="26.4" x14ac:dyDescent="0.3">
      <c r="A340" s="2">
        <v>385</v>
      </c>
      <c r="B340" s="43" t="s">
        <v>2256</v>
      </c>
      <c r="C340" s="2">
        <v>32.69</v>
      </c>
      <c r="D340" s="2">
        <v>-116.35</v>
      </c>
      <c r="E340" s="2" t="s">
        <v>191</v>
      </c>
      <c r="F340" s="47" t="s">
        <v>2257</v>
      </c>
      <c r="G340" s="67" t="s">
        <v>111</v>
      </c>
      <c r="H340" s="67" t="s">
        <v>112</v>
      </c>
      <c r="I340" s="67" t="s">
        <v>109</v>
      </c>
      <c r="J340" s="67" t="s">
        <v>109</v>
      </c>
      <c r="K340" s="67" t="s">
        <v>356</v>
      </c>
      <c r="L340" s="67" t="s">
        <v>486</v>
      </c>
      <c r="M340" s="67" t="s">
        <v>706</v>
      </c>
      <c r="N340" s="67" t="s">
        <v>706</v>
      </c>
      <c r="O340" s="68">
        <v>45574</v>
      </c>
      <c r="Q340" s="67" t="s">
        <v>109</v>
      </c>
      <c r="R340" s="67" t="s">
        <v>109</v>
      </c>
      <c r="S340" s="67" t="s">
        <v>109</v>
      </c>
      <c r="T340" s="67" t="s">
        <v>109</v>
      </c>
      <c r="U340" s="2" t="s">
        <v>116</v>
      </c>
      <c r="V340" s="7" t="s">
        <v>3022</v>
      </c>
      <c r="W340" s="2" t="b">
        <v>0</v>
      </c>
      <c r="X340" s="7" t="s">
        <v>123</v>
      </c>
      <c r="Y340" s="7" t="s">
        <v>1493</v>
      </c>
      <c r="AA340" s="2">
        <v>0.38</v>
      </c>
      <c r="AB340" s="2" t="s">
        <v>109</v>
      </c>
      <c r="AC340" s="90" t="s">
        <v>1884</v>
      </c>
      <c r="AD340" s="2" t="s">
        <v>1433</v>
      </c>
      <c r="AE340" s="2">
        <v>2.1</v>
      </c>
      <c r="AF340" s="2" t="s">
        <v>4254</v>
      </c>
      <c r="AG340" s="3" t="s">
        <v>4234</v>
      </c>
      <c r="AH340" s="3" t="s">
        <v>4255</v>
      </c>
      <c r="AI340" s="2">
        <v>1</v>
      </c>
      <c r="AJ340" s="2" t="s">
        <v>4235</v>
      </c>
      <c r="AK340" s="2" t="s">
        <v>121</v>
      </c>
      <c r="AL340" s="2" t="s">
        <v>3027</v>
      </c>
      <c r="AM340" s="68">
        <v>45131</v>
      </c>
      <c r="AN340" s="2" t="s">
        <v>122</v>
      </c>
      <c r="AO340" s="2">
        <v>2024</v>
      </c>
      <c r="AP340" s="109" t="s">
        <v>109</v>
      </c>
      <c r="AQ340" s="2" t="b">
        <v>0</v>
      </c>
      <c r="AR340" s="2" t="s">
        <v>109</v>
      </c>
      <c r="AS340" s="2" t="s">
        <v>109</v>
      </c>
      <c r="AT340" s="2" t="s">
        <v>109</v>
      </c>
      <c r="AU340" s="2" t="b">
        <v>1</v>
      </c>
      <c r="AV340" s="2" t="s">
        <v>123</v>
      </c>
      <c r="AW340" s="2" t="s">
        <v>118</v>
      </c>
      <c r="AY340" s="2" t="s">
        <v>109</v>
      </c>
      <c r="AZ340" s="2" t="s">
        <v>109</v>
      </c>
      <c r="BA340" s="2" t="s">
        <v>226</v>
      </c>
      <c r="BB340" s="2" t="s">
        <v>118</v>
      </c>
      <c r="BC340" s="2" t="s">
        <v>109</v>
      </c>
      <c r="BD340" s="2" t="s">
        <v>109</v>
      </c>
      <c r="BE340" s="2" t="s">
        <v>246</v>
      </c>
      <c r="BF340" s="2" t="s">
        <v>109</v>
      </c>
      <c r="BG340" s="2" t="s">
        <v>397</v>
      </c>
      <c r="BH340" s="2" t="s">
        <v>109</v>
      </c>
      <c r="BI340" s="68" t="s">
        <v>109</v>
      </c>
      <c r="BJ340" s="68">
        <v>47298</v>
      </c>
      <c r="BK340" s="68" t="s">
        <v>109</v>
      </c>
      <c r="BL340" s="98" t="s">
        <v>2226</v>
      </c>
      <c r="BM340" s="98" t="s">
        <v>109</v>
      </c>
      <c r="BN340" s="98" t="b">
        <v>0</v>
      </c>
      <c r="BO340" s="85" t="s">
        <v>118</v>
      </c>
      <c r="BP340" s="2" t="s">
        <v>128</v>
      </c>
      <c r="CF340" s="2" t="s">
        <v>109</v>
      </c>
      <c r="CS340" s="142" t="s">
        <v>2260</v>
      </c>
      <c r="CU340" s="132" t="s">
        <v>3028</v>
      </c>
      <c r="CW340" s="2" t="s">
        <v>3473</v>
      </c>
      <c r="CX340" s="220" t="s">
        <v>4152</v>
      </c>
    </row>
    <row r="341" spans="1:102" ht="26.4" x14ac:dyDescent="0.3">
      <c r="A341" s="4">
        <v>386</v>
      </c>
      <c r="B341" s="44" t="s">
        <v>2261</v>
      </c>
      <c r="C341" s="4">
        <v>-117.14400000000001</v>
      </c>
      <c r="D341" s="4">
        <v>32.695</v>
      </c>
      <c r="E341" s="4" t="s">
        <v>410</v>
      </c>
      <c r="F341" s="46" t="s">
        <v>2262</v>
      </c>
      <c r="G341" s="64" t="s">
        <v>111</v>
      </c>
      <c r="H341" s="64" t="s">
        <v>113</v>
      </c>
      <c r="I341" s="64" t="s">
        <v>113</v>
      </c>
      <c r="J341" s="6" t="s">
        <v>109</v>
      </c>
      <c r="K341" s="64" t="s">
        <v>356</v>
      </c>
      <c r="L341" s="64" t="s">
        <v>357</v>
      </c>
      <c r="M341" s="64" t="s">
        <v>706</v>
      </c>
      <c r="N341" s="64" t="s">
        <v>706</v>
      </c>
      <c r="O341" s="69">
        <v>45586</v>
      </c>
      <c r="Q341" s="64">
        <v>2</v>
      </c>
      <c r="R341" s="64" t="s">
        <v>109</v>
      </c>
      <c r="S341" s="64" t="s">
        <v>109</v>
      </c>
      <c r="T341" s="64" t="s">
        <v>109</v>
      </c>
      <c r="U341" s="4" t="s">
        <v>116</v>
      </c>
      <c r="V341" s="4" t="s">
        <v>3022</v>
      </c>
      <c r="W341" s="4" t="b">
        <v>0</v>
      </c>
      <c r="X341" s="4" t="s">
        <v>123</v>
      </c>
      <c r="Y341" s="4" t="s">
        <v>2210</v>
      </c>
      <c r="AA341" s="4" t="s">
        <v>109</v>
      </c>
      <c r="AB341" s="4">
        <v>4.58</v>
      </c>
      <c r="AC341" s="91" t="s">
        <v>861</v>
      </c>
      <c r="AD341" s="4" t="s">
        <v>201</v>
      </c>
      <c r="AE341" s="4">
        <v>2.1</v>
      </c>
      <c r="AF341" s="4" t="s">
        <v>4256</v>
      </c>
      <c r="AG341" s="5" t="s">
        <v>4234</v>
      </c>
      <c r="AH341" s="5" t="s">
        <v>4257</v>
      </c>
      <c r="AI341" s="4">
        <v>1</v>
      </c>
      <c r="AJ341" s="4" t="s">
        <v>4235</v>
      </c>
      <c r="AK341" s="4" t="s">
        <v>121</v>
      </c>
      <c r="AL341" s="4" t="s">
        <v>3027</v>
      </c>
      <c r="AM341" s="69">
        <v>44314</v>
      </c>
      <c r="AN341" s="4" t="s">
        <v>122</v>
      </c>
      <c r="AO341" s="4">
        <v>2022</v>
      </c>
      <c r="AP341" s="217" t="s">
        <v>109</v>
      </c>
      <c r="AQ341" s="4" t="b">
        <v>0</v>
      </c>
      <c r="AR341" s="4" t="s">
        <v>109</v>
      </c>
      <c r="AS341" s="4" t="s">
        <v>109</v>
      </c>
      <c r="AT341" s="4" t="s">
        <v>109</v>
      </c>
      <c r="AU341" s="4" t="b">
        <v>1</v>
      </c>
      <c r="AV341" s="4" t="s">
        <v>123</v>
      </c>
      <c r="AW341" s="4" t="s">
        <v>118</v>
      </c>
      <c r="AY341" s="4" t="s">
        <v>109</v>
      </c>
      <c r="AZ341" s="4" t="s">
        <v>109</v>
      </c>
      <c r="BA341" s="4" t="s">
        <v>226</v>
      </c>
      <c r="BB341" s="4" t="s">
        <v>118</v>
      </c>
      <c r="BC341" s="4" t="s">
        <v>135</v>
      </c>
      <c r="BD341" s="4" t="s">
        <v>109</v>
      </c>
      <c r="BE341" s="4" t="s">
        <v>2892</v>
      </c>
      <c r="BF341" s="4" t="s">
        <v>109</v>
      </c>
      <c r="BG341" s="4" t="s">
        <v>322</v>
      </c>
      <c r="BH341" s="4" t="s">
        <v>109</v>
      </c>
      <c r="BI341" s="69">
        <v>45362</v>
      </c>
      <c r="BJ341" s="69">
        <v>44834</v>
      </c>
      <c r="BK341" s="69">
        <v>45660</v>
      </c>
      <c r="BL341" s="97" t="s">
        <v>109</v>
      </c>
      <c r="BM341" s="4" t="s">
        <v>2226</v>
      </c>
      <c r="BN341" s="97" t="b">
        <v>0</v>
      </c>
      <c r="BO341" s="130" t="s">
        <v>118</v>
      </c>
      <c r="BP341" s="4" t="s">
        <v>128</v>
      </c>
      <c r="CF341" s="4" t="s">
        <v>109</v>
      </c>
      <c r="CS341" s="143" t="s">
        <v>2270</v>
      </c>
      <c r="CU341" s="216" t="s">
        <v>3028</v>
      </c>
      <c r="CW341" s="4" t="s">
        <v>4258</v>
      </c>
      <c r="CX341" s="221" t="s">
        <v>4152</v>
      </c>
    </row>
    <row r="342" spans="1:102" ht="39.6" x14ac:dyDescent="0.3">
      <c r="A342" s="2">
        <v>387</v>
      </c>
      <c r="B342" s="43" t="s">
        <v>2271</v>
      </c>
      <c r="C342" s="59">
        <v>-116.914</v>
      </c>
      <c r="D342" s="59">
        <v>32.573</v>
      </c>
      <c r="E342" s="7" t="s">
        <v>191</v>
      </c>
      <c r="F342" s="7" t="s">
        <v>4259</v>
      </c>
      <c r="G342" s="7" t="s">
        <v>111</v>
      </c>
      <c r="H342" s="7" t="s">
        <v>113</v>
      </c>
      <c r="I342" s="7" t="s">
        <v>113</v>
      </c>
      <c r="J342" s="7" t="s">
        <v>109</v>
      </c>
      <c r="K342" s="7" t="s">
        <v>356</v>
      </c>
      <c r="L342" s="7" t="s">
        <v>357</v>
      </c>
      <c r="M342" s="7" t="s">
        <v>706</v>
      </c>
      <c r="N342" s="7" t="s">
        <v>706</v>
      </c>
      <c r="O342" s="68">
        <v>45588</v>
      </c>
      <c r="Q342" s="7" t="s">
        <v>109</v>
      </c>
      <c r="R342" s="7" t="s">
        <v>109</v>
      </c>
      <c r="S342" s="7" t="s">
        <v>109</v>
      </c>
      <c r="T342" s="7" t="s">
        <v>109</v>
      </c>
      <c r="U342" s="7" t="s">
        <v>404</v>
      </c>
      <c r="V342" s="7" t="s">
        <v>3158</v>
      </c>
      <c r="W342" s="2" t="b">
        <v>0</v>
      </c>
      <c r="X342" s="7" t="s">
        <v>123</v>
      </c>
      <c r="Y342" s="7" t="s">
        <v>4260</v>
      </c>
      <c r="AA342" s="59" t="s">
        <v>109</v>
      </c>
      <c r="AB342" s="7">
        <v>32.81</v>
      </c>
      <c r="AC342" s="7">
        <v>230</v>
      </c>
      <c r="AD342" s="2" t="s">
        <v>201</v>
      </c>
      <c r="AE342" s="2">
        <v>2.1</v>
      </c>
      <c r="AF342" s="2" t="s">
        <v>4261</v>
      </c>
      <c r="AG342" s="3" t="s">
        <v>4234</v>
      </c>
      <c r="AH342" s="3" t="s">
        <v>4262</v>
      </c>
      <c r="AI342" s="2">
        <v>1</v>
      </c>
      <c r="AJ342" s="2" t="s">
        <v>4235</v>
      </c>
      <c r="AK342" s="2" t="s">
        <v>121</v>
      </c>
      <c r="AL342" s="7" t="s">
        <v>3027</v>
      </c>
      <c r="AM342" s="68">
        <v>45413</v>
      </c>
      <c r="AN342" s="2" t="s">
        <v>122</v>
      </c>
      <c r="AO342" s="7">
        <v>2024</v>
      </c>
      <c r="AP342" s="109" t="s">
        <v>109</v>
      </c>
      <c r="AQ342" s="7" t="b">
        <v>0</v>
      </c>
      <c r="AR342" s="7" t="s">
        <v>109</v>
      </c>
      <c r="AS342" s="7" t="s">
        <v>109</v>
      </c>
      <c r="AT342" s="7" t="s">
        <v>109</v>
      </c>
      <c r="AU342" s="7" t="b">
        <v>1</v>
      </c>
      <c r="AV342" s="7" t="s">
        <v>123</v>
      </c>
      <c r="AW342" s="7" t="s">
        <v>109</v>
      </c>
      <c r="AY342" s="7" t="s">
        <v>109</v>
      </c>
      <c r="AZ342" s="7" t="s">
        <v>109</v>
      </c>
      <c r="BA342" s="7" t="s">
        <v>226</v>
      </c>
      <c r="BB342" s="7" t="s">
        <v>118</v>
      </c>
      <c r="BC342" s="2" t="s">
        <v>135</v>
      </c>
      <c r="BD342" s="7" t="s">
        <v>109</v>
      </c>
      <c r="BE342" s="7" t="s">
        <v>2892</v>
      </c>
      <c r="BF342" s="7" t="s">
        <v>109</v>
      </c>
      <c r="BG342" s="2" t="s">
        <v>546</v>
      </c>
      <c r="BH342" s="2" t="s">
        <v>109</v>
      </c>
      <c r="BI342" s="68">
        <v>46457</v>
      </c>
      <c r="BJ342" s="68">
        <v>46619</v>
      </c>
      <c r="BK342" s="68">
        <v>46657</v>
      </c>
      <c r="BL342" s="98" t="s">
        <v>2882</v>
      </c>
      <c r="BM342" s="7" t="s">
        <v>109</v>
      </c>
      <c r="BN342" s="98" t="b">
        <v>0</v>
      </c>
      <c r="BO342" s="85" t="s">
        <v>118</v>
      </c>
      <c r="BP342" s="136" t="s">
        <v>2277</v>
      </c>
      <c r="CF342" s="7" t="s">
        <v>109</v>
      </c>
      <c r="CS342" s="142" t="s">
        <v>2279</v>
      </c>
      <c r="CU342" s="132" t="s">
        <v>3060</v>
      </c>
      <c r="CW342" s="2" t="s">
        <v>4247</v>
      </c>
      <c r="CX342" s="220" t="s">
        <v>4152</v>
      </c>
    </row>
    <row r="343" spans="1:102" x14ac:dyDescent="0.3">
      <c r="A343" s="4">
        <v>388</v>
      </c>
      <c r="B343" s="217" t="s">
        <v>4263</v>
      </c>
      <c r="C343" s="56"/>
      <c r="D343" s="4"/>
      <c r="E343" s="4"/>
      <c r="F343" s="46"/>
      <c r="G343" s="64"/>
      <c r="H343" s="64"/>
      <c r="I343" s="64"/>
      <c r="J343" s="64"/>
      <c r="K343" s="64"/>
      <c r="L343" s="64"/>
      <c r="M343" s="64"/>
      <c r="N343" s="64"/>
      <c r="O343" s="64"/>
      <c r="Q343" s="64"/>
      <c r="R343" s="64"/>
      <c r="S343" s="64"/>
      <c r="T343" s="64"/>
      <c r="U343" s="87"/>
      <c r="V343" s="4"/>
      <c r="W343" s="4"/>
      <c r="X343" s="4"/>
      <c r="Y343" s="4" t="s">
        <v>2210</v>
      </c>
      <c r="AA343" s="4"/>
      <c r="AB343" s="4"/>
      <c r="AC343" s="4"/>
      <c r="AD343" s="91"/>
      <c r="AE343" s="4"/>
      <c r="AF343" s="4" t="s">
        <v>3051</v>
      </c>
      <c r="AG343" s="5" t="s">
        <v>4234</v>
      </c>
      <c r="AH343" s="5" t="s">
        <v>4264</v>
      </c>
      <c r="AI343" s="4"/>
      <c r="AJ343" s="4" t="s">
        <v>4235</v>
      </c>
      <c r="AK343" s="4"/>
      <c r="AL343" s="4" t="s">
        <v>3053</v>
      </c>
      <c r="AM343" s="69"/>
      <c r="AN343" s="91"/>
      <c r="AO343" s="4"/>
      <c r="AP343" s="217"/>
      <c r="AQ343" s="4"/>
      <c r="AR343" s="4"/>
      <c r="AS343" s="4"/>
      <c r="AT343" s="4"/>
      <c r="AU343" s="91"/>
      <c r="AV343" s="4"/>
      <c r="AW343" s="4"/>
      <c r="AY343" s="4"/>
      <c r="AZ343" s="4"/>
      <c r="BA343" s="4"/>
      <c r="BB343" s="4"/>
      <c r="BC343" s="4"/>
      <c r="BD343" s="4"/>
      <c r="BE343" s="4"/>
      <c r="BF343" s="4"/>
      <c r="BG343" s="4"/>
      <c r="BH343" s="4"/>
      <c r="BI343" s="69"/>
      <c r="BJ343" s="69"/>
      <c r="BK343" s="69"/>
      <c r="BL343" s="97"/>
      <c r="BM343" s="4"/>
      <c r="BN343" s="4"/>
      <c r="BO343" s="91"/>
      <c r="BP343" s="4"/>
      <c r="CF343" s="4"/>
      <c r="CS343" s="147"/>
      <c r="CU343" s="216" t="s">
        <v>3028</v>
      </c>
      <c r="CW343" s="4" t="s">
        <v>3149</v>
      </c>
      <c r="CX343" s="39"/>
    </row>
    <row r="344" spans="1:102" x14ac:dyDescent="0.3">
      <c r="A344" s="2">
        <v>389</v>
      </c>
      <c r="B344" s="109" t="s">
        <v>4265</v>
      </c>
      <c r="C344" s="55"/>
      <c r="D344" s="2"/>
      <c r="E344" s="2"/>
      <c r="F344" s="47"/>
      <c r="G344" s="67"/>
      <c r="H344" s="67"/>
      <c r="I344" s="67"/>
      <c r="J344" s="67"/>
      <c r="K344" s="67"/>
      <c r="L344" s="67"/>
      <c r="M344" s="67"/>
      <c r="N344" s="67"/>
      <c r="O344" s="67"/>
      <c r="Q344" s="67"/>
      <c r="R344" s="67"/>
      <c r="S344" s="67"/>
      <c r="T344" s="67"/>
      <c r="U344" s="86"/>
      <c r="V344" s="2"/>
      <c r="W344" s="2"/>
      <c r="X344" s="2"/>
      <c r="Y344" s="2" t="s">
        <v>2210</v>
      </c>
      <c r="AA344" s="2"/>
      <c r="AB344" s="2"/>
      <c r="AC344" s="2"/>
      <c r="AD344" s="90"/>
      <c r="AE344" s="2"/>
      <c r="AF344" s="2" t="s">
        <v>4266</v>
      </c>
      <c r="AG344" s="3" t="s">
        <v>4234</v>
      </c>
      <c r="AH344" s="3" t="s">
        <v>4267</v>
      </c>
      <c r="AI344" s="2"/>
      <c r="AJ344" s="2" t="s">
        <v>4235</v>
      </c>
      <c r="AK344" s="2"/>
      <c r="AL344" s="2" t="s">
        <v>3053</v>
      </c>
      <c r="AM344" s="68"/>
      <c r="AN344" s="90"/>
      <c r="AO344" s="2"/>
      <c r="AP344" s="109"/>
      <c r="AQ344" s="2"/>
      <c r="AR344" s="2"/>
      <c r="AS344" s="2"/>
      <c r="AT344" s="2"/>
      <c r="AU344" s="90"/>
      <c r="AV344" s="2"/>
      <c r="AW344" s="2"/>
      <c r="AY344" s="2"/>
      <c r="AZ344" s="2"/>
      <c r="BA344" s="2"/>
      <c r="BB344" s="2"/>
      <c r="BC344" s="2"/>
      <c r="BD344" s="2"/>
      <c r="BE344" s="2"/>
      <c r="BF344" s="2"/>
      <c r="BG344" s="2"/>
      <c r="BH344" s="2"/>
      <c r="BI344" s="68"/>
      <c r="BJ344" s="68"/>
      <c r="BK344" s="68"/>
      <c r="BL344" s="98"/>
      <c r="BM344" s="2"/>
      <c r="BN344" s="2"/>
      <c r="BO344" s="90"/>
      <c r="BP344" s="2"/>
      <c r="CF344" s="2"/>
      <c r="CS344" s="146"/>
      <c r="CU344" s="132" t="s">
        <v>3028</v>
      </c>
      <c r="CW344" s="2" t="s">
        <v>3054</v>
      </c>
      <c r="CX344" s="38"/>
    </row>
    <row r="345" spans="1:102" ht="66" x14ac:dyDescent="0.3">
      <c r="A345" s="4">
        <v>390</v>
      </c>
      <c r="B345" s="44" t="s">
        <v>2299</v>
      </c>
      <c r="C345" s="6" t="s">
        <v>109</v>
      </c>
      <c r="D345" s="4" t="s">
        <v>109</v>
      </c>
      <c r="E345" s="4" t="s">
        <v>2300</v>
      </c>
      <c r="F345" s="46" t="s">
        <v>2301</v>
      </c>
      <c r="G345" s="4" t="s">
        <v>233</v>
      </c>
      <c r="H345" s="4" t="s">
        <v>112</v>
      </c>
      <c r="I345" s="4" t="s">
        <v>109</v>
      </c>
      <c r="J345" s="4" t="s">
        <v>109</v>
      </c>
      <c r="K345" s="4" t="s">
        <v>2918</v>
      </c>
      <c r="L345" s="4" t="s">
        <v>214</v>
      </c>
      <c r="M345" s="4" t="s">
        <v>109</v>
      </c>
      <c r="N345" s="4" t="s">
        <v>109</v>
      </c>
      <c r="O345" s="4" t="s">
        <v>109</v>
      </c>
      <c r="Q345" s="4">
        <v>60</v>
      </c>
      <c r="R345" s="4" t="s">
        <v>109</v>
      </c>
      <c r="S345" s="4" t="s">
        <v>109</v>
      </c>
      <c r="T345" s="4" t="s">
        <v>109</v>
      </c>
      <c r="U345" s="4" t="s">
        <v>116</v>
      </c>
      <c r="V345" s="4" t="s">
        <v>3201</v>
      </c>
      <c r="W345" s="4" t="b">
        <v>0</v>
      </c>
      <c r="X345" s="4" t="s">
        <v>109</v>
      </c>
      <c r="Y345" s="4" t="s">
        <v>2049</v>
      </c>
      <c r="AA345" s="4" t="s">
        <v>118</v>
      </c>
      <c r="AB345" s="4" t="s">
        <v>118</v>
      </c>
      <c r="AC345" s="4" t="s">
        <v>109</v>
      </c>
      <c r="AD345" s="4" t="s">
        <v>109</v>
      </c>
      <c r="AE345" s="4">
        <v>1.2</v>
      </c>
      <c r="AF345" s="4" t="s">
        <v>3030</v>
      </c>
      <c r="AG345" s="5" t="s">
        <v>4268</v>
      </c>
      <c r="AH345" s="5" t="s">
        <v>4269</v>
      </c>
      <c r="AI345" s="4">
        <v>1</v>
      </c>
      <c r="AJ345" s="4" t="s">
        <v>4270</v>
      </c>
      <c r="AK345" s="4" t="s">
        <v>121</v>
      </c>
      <c r="AL345" s="4" t="s">
        <v>3027</v>
      </c>
      <c r="AM345" s="112" t="s">
        <v>4271</v>
      </c>
      <c r="AN345" s="4" t="s">
        <v>122</v>
      </c>
      <c r="AO345" s="4">
        <v>2021</v>
      </c>
      <c r="AP345" s="217" t="s">
        <v>109</v>
      </c>
      <c r="AQ345" s="4" t="b">
        <v>0</v>
      </c>
      <c r="AR345" s="4" t="s">
        <v>109</v>
      </c>
      <c r="AS345" s="4" t="s">
        <v>109</v>
      </c>
      <c r="AT345" s="4" t="s">
        <v>118</v>
      </c>
      <c r="AU345" s="4" t="b">
        <v>0</v>
      </c>
      <c r="AV345" s="4" t="s">
        <v>109</v>
      </c>
      <c r="AW345" s="4" t="s">
        <v>118</v>
      </c>
      <c r="AY345" s="4" t="s">
        <v>109</v>
      </c>
      <c r="AZ345" s="4" t="s">
        <v>109</v>
      </c>
      <c r="BA345" s="4" t="s">
        <v>109</v>
      </c>
      <c r="BB345" s="4" t="s">
        <v>118</v>
      </c>
      <c r="BC345" s="6" t="s">
        <v>109</v>
      </c>
      <c r="BD345" s="69" t="s">
        <v>109</v>
      </c>
      <c r="BE345" s="6" t="s">
        <v>109</v>
      </c>
      <c r="BF345" s="4" t="s">
        <v>118</v>
      </c>
      <c r="BG345" s="4" t="s">
        <v>126</v>
      </c>
      <c r="BH345" s="4" t="s">
        <v>109</v>
      </c>
      <c r="BI345" s="69" t="s">
        <v>4272</v>
      </c>
      <c r="BJ345" s="69">
        <v>44926</v>
      </c>
      <c r="BK345" s="69">
        <v>44949</v>
      </c>
      <c r="BL345" s="97" t="s">
        <v>109</v>
      </c>
      <c r="BM345" s="4" t="s">
        <v>109</v>
      </c>
      <c r="BN345" s="4" t="b">
        <v>1</v>
      </c>
      <c r="BO345" s="130">
        <v>2119.60806</v>
      </c>
      <c r="BP345" s="4" t="s">
        <v>128</v>
      </c>
      <c r="CF345" s="4" t="s">
        <v>174</v>
      </c>
      <c r="CS345" s="143" t="s">
        <v>2306</v>
      </c>
      <c r="CU345" s="216" t="s">
        <v>3187</v>
      </c>
      <c r="CW345" s="4" t="s">
        <v>3029</v>
      </c>
      <c r="CX345" s="39"/>
    </row>
    <row r="346" spans="1:102" ht="27" x14ac:dyDescent="0.3">
      <c r="A346" s="2">
        <v>392</v>
      </c>
      <c r="B346" s="43" t="s">
        <v>2307</v>
      </c>
      <c r="C346" s="2">
        <v>-117.124</v>
      </c>
      <c r="D346" s="2">
        <v>33.122999999999998</v>
      </c>
      <c r="E346" s="2" t="s">
        <v>191</v>
      </c>
      <c r="F346" s="80" t="s">
        <v>2308</v>
      </c>
      <c r="G346" s="67" t="s">
        <v>661</v>
      </c>
      <c r="H346" s="67" t="s">
        <v>958</v>
      </c>
      <c r="I346" s="67" t="s">
        <v>109</v>
      </c>
      <c r="J346" s="67" t="s">
        <v>109</v>
      </c>
      <c r="K346" s="67" t="s">
        <v>134</v>
      </c>
      <c r="L346" s="2" t="s">
        <v>1158</v>
      </c>
      <c r="M346" s="67" t="s">
        <v>109</v>
      </c>
      <c r="N346" s="67" t="s">
        <v>109</v>
      </c>
      <c r="O346" s="74">
        <v>45353</v>
      </c>
      <c r="Q346" s="7">
        <v>60</v>
      </c>
      <c r="R346" s="67" t="s">
        <v>109</v>
      </c>
      <c r="S346" s="67" t="s">
        <v>109</v>
      </c>
      <c r="T346" s="67" t="s">
        <v>109</v>
      </c>
      <c r="U346" s="2" t="s">
        <v>116</v>
      </c>
      <c r="V346" s="2" t="s">
        <v>3158</v>
      </c>
      <c r="W346" s="2" t="b">
        <v>0</v>
      </c>
      <c r="X346" s="2" t="s">
        <v>123</v>
      </c>
      <c r="Y346" s="2" t="s">
        <v>954</v>
      </c>
      <c r="AA346" s="2">
        <v>0.24</v>
      </c>
      <c r="AB346" s="2" t="s">
        <v>109</v>
      </c>
      <c r="AC346" s="2">
        <v>69</v>
      </c>
      <c r="AD346" s="2" t="s">
        <v>109</v>
      </c>
      <c r="AE346" s="2">
        <v>1</v>
      </c>
      <c r="AF346" s="2" t="s">
        <v>4273</v>
      </c>
      <c r="AG346" s="3" t="s">
        <v>4274</v>
      </c>
      <c r="AH346" s="3" t="s">
        <v>4275</v>
      </c>
      <c r="AI346" s="2">
        <v>1</v>
      </c>
      <c r="AJ346" s="2" t="s">
        <v>4276</v>
      </c>
      <c r="AK346" s="2" t="s">
        <v>121</v>
      </c>
      <c r="AL346" s="2" t="s">
        <v>3027</v>
      </c>
      <c r="AM346" s="68" t="s">
        <v>4277</v>
      </c>
      <c r="AN346" s="2" t="s">
        <v>122</v>
      </c>
      <c r="AO346" s="2">
        <v>2023</v>
      </c>
      <c r="AP346" s="109" t="s">
        <v>109</v>
      </c>
      <c r="AQ346" s="2" t="b">
        <v>0</v>
      </c>
      <c r="AR346" s="2" t="s">
        <v>109</v>
      </c>
      <c r="AS346" s="2" t="s">
        <v>109</v>
      </c>
      <c r="AT346" s="2" t="s">
        <v>109</v>
      </c>
      <c r="AU346" s="2" t="b">
        <v>0</v>
      </c>
      <c r="AV346" s="2" t="s">
        <v>123</v>
      </c>
      <c r="AW346" s="2" t="s">
        <v>118</v>
      </c>
      <c r="AY346" s="2" t="s">
        <v>109</v>
      </c>
      <c r="AZ346" s="2" t="s">
        <v>109</v>
      </c>
      <c r="BA346" s="2" t="s">
        <v>226</v>
      </c>
      <c r="BB346" s="2" t="s">
        <v>109</v>
      </c>
      <c r="BC346" s="2" t="s">
        <v>666</v>
      </c>
      <c r="BD346" s="2" t="s">
        <v>109</v>
      </c>
      <c r="BE346" s="2" t="s">
        <v>125</v>
      </c>
      <c r="BF346" s="2">
        <v>2025</v>
      </c>
      <c r="BG346" s="2" t="s">
        <v>425</v>
      </c>
      <c r="BH346" s="2" t="s">
        <v>109</v>
      </c>
      <c r="BI346" s="68">
        <v>45950</v>
      </c>
      <c r="BJ346" s="68">
        <v>46022</v>
      </c>
      <c r="BK346" s="68">
        <v>46076</v>
      </c>
      <c r="BL346" s="98" t="s">
        <v>109</v>
      </c>
      <c r="BM346" s="2" t="s">
        <v>109</v>
      </c>
      <c r="BN346" s="7" t="b">
        <v>1</v>
      </c>
      <c r="BO346" s="85">
        <v>3500.4883500000001</v>
      </c>
      <c r="BP346" s="2" t="s">
        <v>128</v>
      </c>
      <c r="CF346" s="2">
        <v>2025</v>
      </c>
      <c r="CS346" s="145"/>
      <c r="CU346" s="132" t="s">
        <v>3187</v>
      </c>
      <c r="CW346" s="2" t="s">
        <v>3951</v>
      </c>
      <c r="CX346" s="220" t="s">
        <v>4278</v>
      </c>
    </row>
    <row r="347" spans="1:102" x14ac:dyDescent="0.3">
      <c r="A347" s="4">
        <v>393</v>
      </c>
      <c r="B347" s="44" t="s">
        <v>2314</v>
      </c>
      <c r="C347" s="57" t="s">
        <v>109</v>
      </c>
      <c r="D347" s="4" t="s">
        <v>109</v>
      </c>
      <c r="E347" s="6" t="s">
        <v>109</v>
      </c>
      <c r="F347" s="46" t="s">
        <v>2315</v>
      </c>
      <c r="G347" s="4" t="s">
        <v>111</v>
      </c>
      <c r="H347" s="4" t="s">
        <v>113</v>
      </c>
      <c r="I347" s="4" t="s">
        <v>109</v>
      </c>
      <c r="J347" s="4" t="s">
        <v>109</v>
      </c>
      <c r="K347" s="4" t="s">
        <v>114</v>
      </c>
      <c r="L347" s="4" t="s">
        <v>159</v>
      </c>
      <c r="M347" s="4" t="s">
        <v>109</v>
      </c>
      <c r="N347" s="4" t="s">
        <v>109</v>
      </c>
      <c r="O347" s="4" t="s">
        <v>109</v>
      </c>
      <c r="Q347" s="4" t="s">
        <v>109</v>
      </c>
      <c r="R347" s="4" t="s">
        <v>109</v>
      </c>
      <c r="S347" s="4" t="s">
        <v>109</v>
      </c>
      <c r="T347" s="4" t="s">
        <v>109</v>
      </c>
      <c r="U347" s="4" t="s">
        <v>116</v>
      </c>
      <c r="V347" s="4" t="s">
        <v>3022</v>
      </c>
      <c r="W347" s="4" t="b">
        <v>0</v>
      </c>
      <c r="X347" s="4" t="s">
        <v>109</v>
      </c>
      <c r="Y347" s="4" t="s">
        <v>429</v>
      </c>
      <c r="AA347" s="4" t="s">
        <v>118</v>
      </c>
      <c r="AB347" s="4" t="s">
        <v>118</v>
      </c>
      <c r="AC347" s="4" t="s">
        <v>119</v>
      </c>
      <c r="AD347" s="4" t="s">
        <v>434</v>
      </c>
      <c r="AE347" s="4">
        <v>4.3</v>
      </c>
      <c r="AF347" s="4" t="s">
        <v>3023</v>
      </c>
      <c r="AG347" s="5" t="s">
        <v>4279</v>
      </c>
      <c r="AH347" s="5" t="s">
        <v>3025</v>
      </c>
      <c r="AI347" s="4">
        <v>10</v>
      </c>
      <c r="AJ347" s="4" t="s">
        <v>4280</v>
      </c>
      <c r="AK347" s="4" t="s">
        <v>121</v>
      </c>
      <c r="AL347" s="4" t="s">
        <v>3027</v>
      </c>
      <c r="AM347" s="69">
        <v>45259</v>
      </c>
      <c r="AN347" s="4" t="s">
        <v>122</v>
      </c>
      <c r="AO347" s="4" t="s">
        <v>109</v>
      </c>
      <c r="AP347" s="217" t="s">
        <v>109</v>
      </c>
      <c r="AQ347" s="4" t="b">
        <v>0</v>
      </c>
      <c r="AR347" s="4" t="s">
        <v>109</v>
      </c>
      <c r="AS347" s="4" t="s">
        <v>109</v>
      </c>
      <c r="AT347" s="4" t="s">
        <v>118</v>
      </c>
      <c r="AU347" s="4" t="b">
        <v>0</v>
      </c>
      <c r="AV347" s="4" t="s">
        <v>109</v>
      </c>
      <c r="AW347" s="4" t="s">
        <v>118</v>
      </c>
      <c r="AY347" s="4" t="s">
        <v>109</v>
      </c>
      <c r="AZ347" s="4" t="s">
        <v>109</v>
      </c>
      <c r="BA347" s="4" t="s">
        <v>118</v>
      </c>
      <c r="BB347" s="4" t="s">
        <v>118</v>
      </c>
      <c r="BC347" s="4" t="s">
        <v>135</v>
      </c>
      <c r="BD347" s="69" t="s">
        <v>109</v>
      </c>
      <c r="BE347" s="6" t="s">
        <v>109</v>
      </c>
      <c r="BF347" s="4" t="s">
        <v>109</v>
      </c>
      <c r="BG347" s="4" t="s">
        <v>126</v>
      </c>
      <c r="BH347" s="4" t="s">
        <v>109</v>
      </c>
      <c r="BI347" s="69" t="s">
        <v>109</v>
      </c>
      <c r="BJ347" s="69">
        <v>45657</v>
      </c>
      <c r="BK347" s="69" t="s">
        <v>109</v>
      </c>
      <c r="BL347" s="97" t="s">
        <v>109</v>
      </c>
      <c r="BM347" s="4" t="s">
        <v>109</v>
      </c>
      <c r="BN347" s="4" t="b">
        <v>1</v>
      </c>
      <c r="BO347" s="130" t="s">
        <v>118</v>
      </c>
      <c r="BP347" s="4" t="s">
        <v>128</v>
      </c>
      <c r="CF347" s="4" t="s">
        <v>2317</v>
      </c>
      <c r="CS347" s="144"/>
      <c r="CU347" s="216" t="s">
        <v>3060</v>
      </c>
      <c r="CW347" s="4" t="s">
        <v>3029</v>
      </c>
      <c r="CX347" s="221"/>
    </row>
    <row r="348" spans="1:102" ht="66" x14ac:dyDescent="0.3">
      <c r="A348" s="2">
        <v>394</v>
      </c>
      <c r="B348" s="43" t="s">
        <v>2319</v>
      </c>
      <c r="C348" s="2" t="s">
        <v>109</v>
      </c>
      <c r="D348" s="2" t="s">
        <v>109</v>
      </c>
      <c r="E348" s="2" t="s">
        <v>109</v>
      </c>
      <c r="F348" s="47" t="s">
        <v>2320</v>
      </c>
      <c r="G348" s="2" t="s">
        <v>274</v>
      </c>
      <c r="H348" s="2" t="s">
        <v>112</v>
      </c>
      <c r="I348" s="2" t="s">
        <v>109</v>
      </c>
      <c r="J348" s="2" t="s">
        <v>109</v>
      </c>
      <c r="K348" s="2" t="s">
        <v>662</v>
      </c>
      <c r="L348" s="2" t="s">
        <v>235</v>
      </c>
      <c r="M348" s="2" t="s">
        <v>109</v>
      </c>
      <c r="N348" s="2" t="s">
        <v>109</v>
      </c>
      <c r="O348" s="2" t="s">
        <v>109</v>
      </c>
      <c r="Q348" s="7">
        <v>60</v>
      </c>
      <c r="R348" s="2" t="s">
        <v>109</v>
      </c>
      <c r="S348" s="2" t="s">
        <v>109</v>
      </c>
      <c r="T348" s="2" t="s">
        <v>109</v>
      </c>
      <c r="U348" s="2" t="s">
        <v>116</v>
      </c>
      <c r="V348" s="7" t="s">
        <v>1563</v>
      </c>
      <c r="W348" s="2" t="b">
        <v>0</v>
      </c>
      <c r="X348" s="7" t="s">
        <v>109</v>
      </c>
      <c r="Y348" s="7" t="s">
        <v>2318</v>
      </c>
      <c r="AA348" s="2" t="s">
        <v>109</v>
      </c>
      <c r="AB348" s="2" t="s">
        <v>109</v>
      </c>
      <c r="AC348" s="2" t="s">
        <v>109</v>
      </c>
      <c r="AD348" s="2" t="s">
        <v>109</v>
      </c>
      <c r="AE348" s="2">
        <v>1.2</v>
      </c>
      <c r="AF348" s="2" t="s">
        <v>4281</v>
      </c>
      <c r="AG348" s="3" t="s">
        <v>4282</v>
      </c>
      <c r="AH348" s="3" t="s">
        <v>4283</v>
      </c>
      <c r="AI348" s="2">
        <v>1</v>
      </c>
      <c r="AJ348" s="2" t="s">
        <v>4284</v>
      </c>
      <c r="AK348" s="2" t="s">
        <v>121</v>
      </c>
      <c r="AL348" s="2" t="s">
        <v>3027</v>
      </c>
      <c r="AM348" s="68" t="s">
        <v>4101</v>
      </c>
      <c r="AN348" s="2" t="s">
        <v>122</v>
      </c>
      <c r="AO348" s="2">
        <v>2022</v>
      </c>
      <c r="AP348" s="109" t="s">
        <v>109</v>
      </c>
      <c r="AQ348" s="2" t="b">
        <v>0</v>
      </c>
      <c r="AR348" s="2" t="s">
        <v>109</v>
      </c>
      <c r="AS348" s="2" t="s">
        <v>109</v>
      </c>
      <c r="AT348" s="2" t="s">
        <v>109</v>
      </c>
      <c r="AU348" s="2" t="b">
        <v>0</v>
      </c>
      <c r="AV348" s="2" t="s">
        <v>109</v>
      </c>
      <c r="AW348" s="2" t="s">
        <v>109</v>
      </c>
      <c r="AY348" s="2" t="s">
        <v>109</v>
      </c>
      <c r="AZ348" s="2" t="s">
        <v>109</v>
      </c>
      <c r="BA348" s="2" t="s">
        <v>109</v>
      </c>
      <c r="BB348" s="2" t="s">
        <v>109</v>
      </c>
      <c r="BC348" s="2" t="s">
        <v>109</v>
      </c>
      <c r="BD348" s="76" t="s">
        <v>109</v>
      </c>
      <c r="BE348" s="76" t="s">
        <v>109</v>
      </c>
      <c r="BF348" s="76" t="s">
        <v>109</v>
      </c>
      <c r="BG348" s="2" t="s">
        <v>126</v>
      </c>
      <c r="BH348" s="2" t="s">
        <v>109</v>
      </c>
      <c r="BI348" s="68" t="s">
        <v>109</v>
      </c>
      <c r="BJ348" s="68">
        <v>45260</v>
      </c>
      <c r="BK348" s="68" t="s">
        <v>109</v>
      </c>
      <c r="BL348" s="98" t="s">
        <v>109</v>
      </c>
      <c r="BM348" s="98" t="s">
        <v>109</v>
      </c>
      <c r="BN348" s="7" t="b">
        <v>1</v>
      </c>
      <c r="BO348" s="85">
        <v>247.33045000000001</v>
      </c>
      <c r="BP348" s="2" t="s">
        <v>128</v>
      </c>
      <c r="CF348" s="2">
        <v>2025</v>
      </c>
      <c r="CS348" s="142" t="s">
        <v>4285</v>
      </c>
      <c r="CU348" s="132" t="s">
        <v>4286</v>
      </c>
      <c r="CW348" s="2" t="s">
        <v>3029</v>
      </c>
      <c r="CX348" s="38"/>
    </row>
    <row r="349" spans="1:102" x14ac:dyDescent="0.3">
      <c r="A349" s="4">
        <v>396</v>
      </c>
      <c r="B349" s="44" t="s">
        <v>2324</v>
      </c>
      <c r="C349" s="57" t="s">
        <v>109</v>
      </c>
      <c r="D349" s="4" t="s">
        <v>109</v>
      </c>
      <c r="E349" s="6" t="s">
        <v>109</v>
      </c>
      <c r="F349" s="46" t="s">
        <v>2325</v>
      </c>
      <c r="G349" s="4" t="s">
        <v>111</v>
      </c>
      <c r="H349" s="4" t="s">
        <v>113</v>
      </c>
      <c r="I349" s="4" t="s">
        <v>109</v>
      </c>
      <c r="J349" s="4" t="s">
        <v>109</v>
      </c>
      <c r="K349" s="4" t="s">
        <v>662</v>
      </c>
      <c r="L349" s="4" t="s">
        <v>235</v>
      </c>
      <c r="M349" s="4" t="s">
        <v>109</v>
      </c>
      <c r="N349" s="4" t="s">
        <v>109</v>
      </c>
      <c r="O349" s="4" t="s">
        <v>109</v>
      </c>
      <c r="Q349" s="4" t="s">
        <v>109</v>
      </c>
      <c r="R349" s="4" t="s">
        <v>109</v>
      </c>
      <c r="S349" s="4" t="s">
        <v>109</v>
      </c>
      <c r="T349" s="4" t="s">
        <v>109</v>
      </c>
      <c r="U349" s="4" t="s">
        <v>285</v>
      </c>
      <c r="V349" s="4" t="s">
        <v>3386</v>
      </c>
      <c r="W349" s="4" t="b">
        <v>0</v>
      </c>
      <c r="X349" s="4" t="s">
        <v>109</v>
      </c>
      <c r="Y349" s="4" t="s">
        <v>429</v>
      </c>
      <c r="AA349" s="4" t="s">
        <v>118</v>
      </c>
      <c r="AB349" s="4" t="s">
        <v>118</v>
      </c>
      <c r="AC349" s="4" t="s">
        <v>109</v>
      </c>
      <c r="AD349" s="4" t="s">
        <v>109</v>
      </c>
      <c r="AE349" s="4">
        <v>1.1000000000000001</v>
      </c>
      <c r="AF349" s="4" t="s">
        <v>3023</v>
      </c>
      <c r="AG349" s="5" t="s">
        <v>4287</v>
      </c>
      <c r="AH349" s="5" t="s">
        <v>3025</v>
      </c>
      <c r="AI349" s="4">
        <v>3</v>
      </c>
      <c r="AJ349" s="4" t="s">
        <v>4288</v>
      </c>
      <c r="AK349" s="4" t="s">
        <v>121</v>
      </c>
      <c r="AL349" s="4" t="s">
        <v>3027</v>
      </c>
      <c r="AM349" s="69">
        <v>45252</v>
      </c>
      <c r="AN349" s="4" t="s">
        <v>122</v>
      </c>
      <c r="AO349" s="4" t="s">
        <v>109</v>
      </c>
      <c r="AP349" s="217" t="s">
        <v>109</v>
      </c>
      <c r="AQ349" s="4" t="b">
        <v>0</v>
      </c>
      <c r="AR349" s="4" t="s">
        <v>109</v>
      </c>
      <c r="AS349" s="4" t="s">
        <v>109</v>
      </c>
      <c r="AT349" s="4" t="s">
        <v>118</v>
      </c>
      <c r="AU349" s="4" t="b">
        <v>0</v>
      </c>
      <c r="AV349" s="4" t="s">
        <v>109</v>
      </c>
      <c r="AW349" s="4" t="s">
        <v>118</v>
      </c>
      <c r="AY349" s="4" t="s">
        <v>109</v>
      </c>
      <c r="AZ349" s="4" t="s">
        <v>109</v>
      </c>
      <c r="BA349" s="4" t="s">
        <v>118</v>
      </c>
      <c r="BB349" s="4" t="s">
        <v>118</v>
      </c>
      <c r="BC349" s="4" t="s">
        <v>135</v>
      </c>
      <c r="BD349" s="69" t="s">
        <v>109</v>
      </c>
      <c r="BE349" s="6" t="s">
        <v>109</v>
      </c>
      <c r="BF349" s="4" t="s">
        <v>109</v>
      </c>
      <c r="BG349" s="4" t="s">
        <v>126</v>
      </c>
      <c r="BH349" s="4" t="s">
        <v>109</v>
      </c>
      <c r="BI349" s="69" t="s">
        <v>109</v>
      </c>
      <c r="BJ349" s="69">
        <v>45657</v>
      </c>
      <c r="BK349" s="69" t="s">
        <v>109</v>
      </c>
      <c r="BL349" s="97" t="s">
        <v>109</v>
      </c>
      <c r="BM349" s="4" t="s">
        <v>109</v>
      </c>
      <c r="BN349" s="4" t="b">
        <v>1</v>
      </c>
      <c r="BO349" s="130" t="s">
        <v>118</v>
      </c>
      <c r="BP349" s="4" t="s">
        <v>128</v>
      </c>
      <c r="CF349" s="4" t="s">
        <v>2295</v>
      </c>
      <c r="CS349" s="144"/>
      <c r="CU349" s="216" t="s">
        <v>3060</v>
      </c>
      <c r="CW349" s="4" t="s">
        <v>3029</v>
      </c>
      <c r="CX349" s="39"/>
    </row>
    <row r="350" spans="1:102" x14ac:dyDescent="0.3">
      <c r="A350" s="2">
        <v>397</v>
      </c>
      <c r="B350" s="45" t="s">
        <v>2327</v>
      </c>
      <c r="C350" s="52" t="s">
        <v>109</v>
      </c>
      <c r="D350" s="2" t="s">
        <v>109</v>
      </c>
      <c r="E350" s="2" t="s">
        <v>191</v>
      </c>
      <c r="F350" s="47" t="s">
        <v>2328</v>
      </c>
      <c r="G350" s="67" t="s">
        <v>274</v>
      </c>
      <c r="H350" s="2" t="s">
        <v>113</v>
      </c>
      <c r="I350" s="2" t="s">
        <v>109</v>
      </c>
      <c r="J350" s="2" t="s">
        <v>109</v>
      </c>
      <c r="K350" s="2" t="s">
        <v>662</v>
      </c>
      <c r="L350" s="2" t="s">
        <v>235</v>
      </c>
      <c r="M350" s="2" t="s">
        <v>109</v>
      </c>
      <c r="N350" s="2" t="s">
        <v>109</v>
      </c>
      <c r="O350" s="2" t="s">
        <v>109</v>
      </c>
      <c r="Q350" s="2" t="s">
        <v>109</v>
      </c>
      <c r="R350" s="2" t="s">
        <v>109</v>
      </c>
      <c r="S350" s="2" t="s">
        <v>109</v>
      </c>
      <c r="T350" s="2" t="s">
        <v>109</v>
      </c>
      <c r="U350" s="2" t="s">
        <v>285</v>
      </c>
      <c r="V350" s="2" t="s">
        <v>3386</v>
      </c>
      <c r="W350" s="2" t="b">
        <v>0</v>
      </c>
      <c r="X350" s="2" t="s">
        <v>109</v>
      </c>
      <c r="Y350" s="2" t="s">
        <v>429</v>
      </c>
      <c r="AA350" s="2" t="s">
        <v>109</v>
      </c>
      <c r="AB350" s="2" t="s">
        <v>109</v>
      </c>
      <c r="AC350" s="2" t="s">
        <v>109</v>
      </c>
      <c r="AD350" s="2" t="s">
        <v>109</v>
      </c>
      <c r="AE350" s="2">
        <v>1.1000000000000001</v>
      </c>
      <c r="AF350" s="2" t="s">
        <v>3030</v>
      </c>
      <c r="AG350" s="3" t="s">
        <v>4287</v>
      </c>
      <c r="AH350" s="3" t="s">
        <v>4289</v>
      </c>
      <c r="AI350" s="2">
        <v>1</v>
      </c>
      <c r="AJ350" s="2" t="s">
        <v>4288</v>
      </c>
      <c r="AK350" s="2" t="s">
        <v>121</v>
      </c>
      <c r="AL350" s="2" t="s">
        <v>3027</v>
      </c>
      <c r="AM350" s="68">
        <v>44865</v>
      </c>
      <c r="AN350" s="2" t="s">
        <v>122</v>
      </c>
      <c r="AO350" s="2" t="s">
        <v>109</v>
      </c>
      <c r="AP350" s="109" t="s">
        <v>109</v>
      </c>
      <c r="AQ350" s="2" t="b">
        <v>0</v>
      </c>
      <c r="AR350" s="2" t="s">
        <v>109</v>
      </c>
      <c r="AS350" s="2" t="s">
        <v>109</v>
      </c>
      <c r="AT350" s="2" t="s">
        <v>109</v>
      </c>
      <c r="AU350" s="2" t="b">
        <v>0</v>
      </c>
      <c r="AV350" s="2" t="s">
        <v>109</v>
      </c>
      <c r="AW350" s="2" t="s">
        <v>118</v>
      </c>
      <c r="AY350" s="2" t="s">
        <v>109</v>
      </c>
      <c r="AZ350" s="2" t="s">
        <v>109</v>
      </c>
      <c r="BA350" s="2" t="s">
        <v>118</v>
      </c>
      <c r="BB350" s="2" t="s">
        <v>118</v>
      </c>
      <c r="BC350" s="2" t="s">
        <v>135</v>
      </c>
      <c r="BD350" s="68" t="s">
        <v>109</v>
      </c>
      <c r="BE350" s="2" t="s">
        <v>109</v>
      </c>
      <c r="BF350" s="2" t="s">
        <v>109</v>
      </c>
      <c r="BG350" s="2" t="s">
        <v>126</v>
      </c>
      <c r="BH350" s="2" t="s">
        <v>109</v>
      </c>
      <c r="BI350" s="68" t="s">
        <v>109</v>
      </c>
      <c r="BJ350" s="68">
        <v>46387</v>
      </c>
      <c r="BK350" s="68" t="s">
        <v>109</v>
      </c>
      <c r="BL350" s="98" t="s">
        <v>109</v>
      </c>
      <c r="BM350" s="2" t="s">
        <v>109</v>
      </c>
      <c r="BN350" s="98" t="b">
        <v>0</v>
      </c>
      <c r="BO350" s="85">
        <v>0</v>
      </c>
      <c r="BP350" s="2" t="s">
        <v>128</v>
      </c>
      <c r="CF350" s="85">
        <v>0</v>
      </c>
      <c r="CS350" s="145"/>
      <c r="CU350" s="132" t="s">
        <v>3060</v>
      </c>
      <c r="CW350" s="2" t="s">
        <v>3029</v>
      </c>
      <c r="CX350" s="38"/>
    </row>
    <row r="351" spans="1:102" x14ac:dyDescent="0.3">
      <c r="A351" s="4">
        <v>398</v>
      </c>
      <c r="B351" s="44" t="s">
        <v>2330</v>
      </c>
      <c r="C351" s="53">
        <v>33.137</v>
      </c>
      <c r="D351" s="53">
        <v>-116.294</v>
      </c>
      <c r="E351" s="4" t="s">
        <v>191</v>
      </c>
      <c r="F351" s="46" t="s">
        <v>2331</v>
      </c>
      <c r="G351" s="4" t="s">
        <v>111</v>
      </c>
      <c r="H351" s="4" t="s">
        <v>113</v>
      </c>
      <c r="I351" s="4" t="s">
        <v>109</v>
      </c>
      <c r="J351" s="4" t="s">
        <v>109</v>
      </c>
      <c r="K351" s="4" t="s">
        <v>114</v>
      </c>
      <c r="L351" s="4" t="s">
        <v>251</v>
      </c>
      <c r="M351" s="4" t="s">
        <v>109</v>
      </c>
      <c r="N351" s="4" t="s">
        <v>109</v>
      </c>
      <c r="O351" s="69">
        <v>45594</v>
      </c>
      <c r="Q351" s="4" t="s">
        <v>2332</v>
      </c>
      <c r="R351" s="4" t="s">
        <v>109</v>
      </c>
      <c r="S351" s="4" t="s">
        <v>725</v>
      </c>
      <c r="T351" s="4" t="s">
        <v>109</v>
      </c>
      <c r="U351" s="4" t="s">
        <v>116</v>
      </c>
      <c r="V351" s="4" t="s">
        <v>3022</v>
      </c>
      <c r="W351" s="4" t="b">
        <v>0</v>
      </c>
      <c r="X351" s="4" t="s">
        <v>109</v>
      </c>
      <c r="Y351" s="4" t="s">
        <v>3306</v>
      </c>
      <c r="AA351" s="4" t="s">
        <v>118</v>
      </c>
      <c r="AB351" s="53">
        <v>0.52600000000000002</v>
      </c>
      <c r="AC351" s="4">
        <v>69</v>
      </c>
      <c r="AD351" s="4" t="s">
        <v>373</v>
      </c>
      <c r="AE351" s="4">
        <v>4.0999999999999996</v>
      </c>
      <c r="AF351" s="4" t="s">
        <v>3030</v>
      </c>
      <c r="AG351" s="5" t="s">
        <v>4290</v>
      </c>
      <c r="AH351" s="5" t="s">
        <v>3071</v>
      </c>
      <c r="AI351" s="4">
        <v>1</v>
      </c>
      <c r="AJ351" s="4" t="s">
        <v>4291</v>
      </c>
      <c r="AK351" s="4" t="s">
        <v>121</v>
      </c>
      <c r="AL351" s="4" t="s">
        <v>3027</v>
      </c>
      <c r="AM351" s="69" t="s">
        <v>4292</v>
      </c>
      <c r="AN351" s="4" t="s">
        <v>122</v>
      </c>
      <c r="AO351" s="4">
        <v>2023</v>
      </c>
      <c r="AP351" s="217" t="s">
        <v>109</v>
      </c>
      <c r="AQ351" s="4" t="b">
        <v>0</v>
      </c>
      <c r="AR351" s="4" t="s">
        <v>109</v>
      </c>
      <c r="AS351" s="4" t="s">
        <v>109</v>
      </c>
      <c r="AT351" s="4" t="s">
        <v>118</v>
      </c>
      <c r="AU351" s="4" t="b">
        <v>0</v>
      </c>
      <c r="AV351" s="4" t="s">
        <v>109</v>
      </c>
      <c r="AW351" s="4" t="s">
        <v>118</v>
      </c>
      <c r="AY351" s="4" t="s">
        <v>109</v>
      </c>
      <c r="AZ351" s="4" t="s">
        <v>109</v>
      </c>
      <c r="BA351" s="4" t="s">
        <v>118</v>
      </c>
      <c r="BB351" s="4" t="s">
        <v>118</v>
      </c>
      <c r="BC351" s="4" t="s">
        <v>135</v>
      </c>
      <c r="BD351" s="69" t="s">
        <v>109</v>
      </c>
      <c r="BE351" s="6" t="s">
        <v>109</v>
      </c>
      <c r="BF351" s="4" t="s">
        <v>109</v>
      </c>
      <c r="BG351" s="4" t="s">
        <v>397</v>
      </c>
      <c r="BH351" s="4" t="s">
        <v>109</v>
      </c>
      <c r="BI351" s="69">
        <v>46510</v>
      </c>
      <c r="BJ351" s="69">
        <v>46387</v>
      </c>
      <c r="BK351" s="69" t="s">
        <v>109</v>
      </c>
      <c r="BL351" s="97" t="s">
        <v>109</v>
      </c>
      <c r="BM351" s="4" t="s">
        <v>109</v>
      </c>
      <c r="BN351" s="97" t="b">
        <v>0</v>
      </c>
      <c r="BO351" s="130">
        <v>3962</v>
      </c>
      <c r="BP351" s="4" t="s">
        <v>128</v>
      </c>
      <c r="CF351" s="4" t="s">
        <v>109</v>
      </c>
      <c r="CS351" s="143"/>
      <c r="CU351" s="216" t="s">
        <v>3028</v>
      </c>
      <c r="CW351" s="4" t="s">
        <v>4293</v>
      </c>
      <c r="CX351" s="39"/>
    </row>
    <row r="352" spans="1:102" ht="79.2" x14ac:dyDescent="0.3">
      <c r="A352" s="2">
        <v>399</v>
      </c>
      <c r="B352" s="50" t="s">
        <v>4294</v>
      </c>
      <c r="C352" s="51">
        <v>32.718000000000004</v>
      </c>
      <c r="D352" s="51">
        <v>-115.71599999999999</v>
      </c>
      <c r="E352" s="2" t="s">
        <v>380</v>
      </c>
      <c r="F352" s="47" t="s">
        <v>4295</v>
      </c>
      <c r="G352" s="67" t="s">
        <v>133</v>
      </c>
      <c r="H352" s="2" t="s">
        <v>112</v>
      </c>
      <c r="I352" s="2" t="s">
        <v>109</v>
      </c>
      <c r="J352" s="2" t="s">
        <v>109</v>
      </c>
      <c r="K352" s="2" t="s">
        <v>1073</v>
      </c>
      <c r="L352" s="2" t="s">
        <v>1074</v>
      </c>
      <c r="M352" s="7" t="s">
        <v>194</v>
      </c>
      <c r="N352" s="77" t="s">
        <v>246</v>
      </c>
      <c r="O352" s="68">
        <v>45595</v>
      </c>
      <c r="Q352" s="2" t="s">
        <v>109</v>
      </c>
      <c r="R352" s="2" t="s">
        <v>109</v>
      </c>
      <c r="S352" s="2" t="s">
        <v>109</v>
      </c>
      <c r="T352" s="2" t="s">
        <v>109</v>
      </c>
      <c r="U352" s="2" t="s">
        <v>116</v>
      </c>
      <c r="V352" s="2" t="s">
        <v>3022</v>
      </c>
      <c r="W352" s="2" t="b">
        <v>0</v>
      </c>
      <c r="X352" s="2" t="s">
        <v>109</v>
      </c>
      <c r="Y352" s="2" t="s">
        <v>1032</v>
      </c>
      <c r="AA352" s="2" t="s">
        <v>109</v>
      </c>
      <c r="AB352" s="2">
        <v>55.48</v>
      </c>
      <c r="AC352" s="2" t="s">
        <v>4296</v>
      </c>
      <c r="AD352" s="2" t="s">
        <v>1075</v>
      </c>
      <c r="AE352" s="2">
        <v>2</v>
      </c>
      <c r="AF352" s="2" t="s">
        <v>3535</v>
      </c>
      <c r="AG352" s="3" t="s">
        <v>3522</v>
      </c>
      <c r="AH352" s="3" t="s">
        <v>4297</v>
      </c>
      <c r="AI352" s="2">
        <v>1</v>
      </c>
      <c r="AJ352" s="2" t="s">
        <v>4298</v>
      </c>
      <c r="AK352" s="2" t="s">
        <v>121</v>
      </c>
      <c r="AL352" s="2" t="s">
        <v>3027</v>
      </c>
      <c r="AM352" s="68"/>
      <c r="AN352" s="2" t="s">
        <v>122</v>
      </c>
      <c r="AO352" s="2" t="s">
        <v>109</v>
      </c>
      <c r="AP352" s="109" t="s">
        <v>109</v>
      </c>
      <c r="AQ352" s="2" t="s">
        <v>109</v>
      </c>
      <c r="AR352" s="2" t="s">
        <v>109</v>
      </c>
      <c r="AS352" s="2" t="s">
        <v>109</v>
      </c>
      <c r="AT352" s="2" t="s">
        <v>109</v>
      </c>
      <c r="AU352" s="2" t="b">
        <v>0</v>
      </c>
      <c r="AV352" s="2" t="s">
        <v>109</v>
      </c>
      <c r="AW352" s="2" t="s">
        <v>109</v>
      </c>
      <c r="AY352" s="2" t="s">
        <v>109</v>
      </c>
      <c r="AZ352" s="2" t="s">
        <v>109</v>
      </c>
      <c r="BA352" s="2" t="s">
        <v>109</v>
      </c>
      <c r="BB352" s="2" t="s">
        <v>109</v>
      </c>
      <c r="BC352" s="2" t="s">
        <v>135</v>
      </c>
      <c r="BD352" s="2" t="s">
        <v>109</v>
      </c>
      <c r="BE352" s="2" t="s">
        <v>109</v>
      </c>
      <c r="BF352" s="2" t="s">
        <v>109</v>
      </c>
      <c r="BG352" s="2" t="s">
        <v>126</v>
      </c>
      <c r="BH352" s="2" t="s">
        <v>109</v>
      </c>
      <c r="BI352" s="68">
        <v>44165</v>
      </c>
      <c r="BJ352" s="68" t="s">
        <v>109</v>
      </c>
      <c r="BK352" s="68">
        <v>46052</v>
      </c>
      <c r="BL352" s="98" t="s">
        <v>109</v>
      </c>
      <c r="BM352" s="2" t="s">
        <v>109</v>
      </c>
      <c r="BN352" s="98" t="b">
        <v>0</v>
      </c>
      <c r="BO352" s="85">
        <v>35000</v>
      </c>
      <c r="BP352" s="2" t="s">
        <v>128</v>
      </c>
      <c r="CF352" s="2" t="s">
        <v>109</v>
      </c>
      <c r="CS352" s="142" t="s">
        <v>2337</v>
      </c>
      <c r="CU352" s="132" t="s">
        <v>3060</v>
      </c>
      <c r="CW352" s="2" t="s">
        <v>3473</v>
      </c>
      <c r="CX352" s="38"/>
    </row>
    <row r="353" spans="1:102" x14ac:dyDescent="0.3">
      <c r="A353" s="4">
        <v>400</v>
      </c>
      <c r="B353" s="48" t="s">
        <v>2338</v>
      </c>
      <c r="C353" s="4" t="s">
        <v>109</v>
      </c>
      <c r="D353" s="4" t="s">
        <v>109</v>
      </c>
      <c r="E353" s="4" t="s">
        <v>109</v>
      </c>
      <c r="F353" s="100" t="s">
        <v>2339</v>
      </c>
      <c r="G353" s="64" t="s">
        <v>233</v>
      </c>
      <c r="H353" s="64" t="s">
        <v>109</v>
      </c>
      <c r="I353" s="64" t="s">
        <v>109</v>
      </c>
      <c r="J353" s="64" t="s">
        <v>109</v>
      </c>
      <c r="K353" s="64" t="s">
        <v>4299</v>
      </c>
      <c r="L353" s="64" t="s">
        <v>959</v>
      </c>
      <c r="M353" s="64" t="s">
        <v>109</v>
      </c>
      <c r="N353" s="64" t="s">
        <v>109</v>
      </c>
      <c r="O353" s="66" t="s">
        <v>109</v>
      </c>
      <c r="Q353" s="6" t="s">
        <v>109</v>
      </c>
      <c r="R353" s="64" t="s">
        <v>109</v>
      </c>
      <c r="S353" s="64" t="s">
        <v>109</v>
      </c>
      <c r="T353" s="64" t="s">
        <v>109</v>
      </c>
      <c r="U353" s="6" t="s">
        <v>285</v>
      </c>
      <c r="V353" s="4" t="s">
        <v>3158</v>
      </c>
      <c r="W353" s="4" t="b">
        <v>0</v>
      </c>
      <c r="X353" s="4" t="s">
        <v>109</v>
      </c>
      <c r="Y353" s="4" t="s">
        <v>1704</v>
      </c>
      <c r="AA353" s="4" t="s">
        <v>109</v>
      </c>
      <c r="AB353" s="4" t="s">
        <v>109</v>
      </c>
      <c r="AC353" s="6" t="s">
        <v>119</v>
      </c>
      <c r="AD353" s="4" t="s">
        <v>109</v>
      </c>
      <c r="AE353" s="4">
        <v>2</v>
      </c>
      <c r="AF353" s="4" t="s">
        <v>3023</v>
      </c>
      <c r="AG353" s="5" t="s">
        <v>4300</v>
      </c>
      <c r="AH353" s="5" t="s">
        <v>4301</v>
      </c>
      <c r="AI353" s="4">
        <v>1</v>
      </c>
      <c r="AJ353" s="4" t="s">
        <v>4302</v>
      </c>
      <c r="AK353" s="4" t="s">
        <v>121</v>
      </c>
      <c r="AL353" s="4" t="s">
        <v>3027</v>
      </c>
      <c r="AM353" s="69">
        <v>45273</v>
      </c>
      <c r="AN353" s="4" t="s">
        <v>122</v>
      </c>
      <c r="AO353" s="4">
        <v>2024</v>
      </c>
      <c r="AP353" s="217" t="s">
        <v>109</v>
      </c>
      <c r="AQ353" s="4" t="b">
        <v>0</v>
      </c>
      <c r="AR353" s="4" t="s">
        <v>109</v>
      </c>
      <c r="AS353" s="4" t="s">
        <v>109</v>
      </c>
      <c r="AT353" s="4" t="s">
        <v>109</v>
      </c>
      <c r="AU353" s="4" t="b">
        <v>0</v>
      </c>
      <c r="AV353" s="4" t="s">
        <v>109</v>
      </c>
      <c r="AW353" s="4" t="s">
        <v>109</v>
      </c>
      <c r="AY353" s="4" t="s">
        <v>109</v>
      </c>
      <c r="AZ353" s="4" t="s">
        <v>109</v>
      </c>
      <c r="BA353" s="4" t="s">
        <v>109</v>
      </c>
      <c r="BB353" s="4" t="s">
        <v>109</v>
      </c>
      <c r="BC353" s="4" t="s">
        <v>109</v>
      </c>
      <c r="BD353" s="4" t="s">
        <v>109</v>
      </c>
      <c r="BE353" s="6" t="s">
        <v>2892</v>
      </c>
      <c r="BF353" s="4" t="s">
        <v>109</v>
      </c>
      <c r="BG353" s="4" t="s">
        <v>126</v>
      </c>
      <c r="BH353" s="4" t="s">
        <v>109</v>
      </c>
      <c r="BI353" s="69">
        <v>43435</v>
      </c>
      <c r="BJ353" s="69">
        <v>47483</v>
      </c>
      <c r="BK353" s="69">
        <v>47483</v>
      </c>
      <c r="BL353" s="97" t="s">
        <v>109</v>
      </c>
      <c r="BM353" s="102" t="s">
        <v>109</v>
      </c>
      <c r="BN353" s="97" t="b">
        <v>0</v>
      </c>
      <c r="BO353" s="130">
        <v>271.31790999999998</v>
      </c>
      <c r="BP353" s="4" t="s">
        <v>128</v>
      </c>
      <c r="CF353" s="6" t="s">
        <v>109</v>
      </c>
      <c r="CS353" s="148" t="s">
        <v>428</v>
      </c>
      <c r="CU353" s="216" t="s">
        <v>3060</v>
      </c>
      <c r="CW353" s="4" t="s">
        <v>3029</v>
      </c>
      <c r="CX353" s="39"/>
    </row>
    <row r="354" spans="1:102" ht="52.8" x14ac:dyDescent="0.3">
      <c r="A354" s="2">
        <v>401</v>
      </c>
      <c r="B354" s="43" t="s">
        <v>2343</v>
      </c>
      <c r="C354" s="52" t="s">
        <v>109</v>
      </c>
      <c r="D354" s="2" t="s">
        <v>109</v>
      </c>
      <c r="E354" s="7" t="s">
        <v>109</v>
      </c>
      <c r="F354" s="47" t="s">
        <v>2344</v>
      </c>
      <c r="G354" s="2" t="s">
        <v>133</v>
      </c>
      <c r="H354" s="2" t="s">
        <v>113</v>
      </c>
      <c r="I354" s="2" t="s">
        <v>109</v>
      </c>
      <c r="J354" s="2" t="s">
        <v>109</v>
      </c>
      <c r="K354" s="2" t="s">
        <v>114</v>
      </c>
      <c r="L354" s="2" t="s">
        <v>207</v>
      </c>
      <c r="M354" s="2" t="s">
        <v>109</v>
      </c>
      <c r="N354" s="2" t="s">
        <v>109</v>
      </c>
      <c r="O354" s="2" t="s">
        <v>109</v>
      </c>
      <c r="Q354" s="2" t="s">
        <v>109</v>
      </c>
      <c r="R354" s="2" t="s">
        <v>109</v>
      </c>
      <c r="S354" s="2" t="s">
        <v>109</v>
      </c>
      <c r="T354" s="2" t="s">
        <v>109</v>
      </c>
      <c r="U354" s="2" t="s">
        <v>116</v>
      </c>
      <c r="V354" s="2" t="s">
        <v>3022</v>
      </c>
      <c r="W354" s="2" t="b">
        <v>0</v>
      </c>
      <c r="X354" s="2" t="s">
        <v>109</v>
      </c>
      <c r="Y354" s="2" t="s">
        <v>429</v>
      </c>
      <c r="AA354" s="2" t="s">
        <v>109</v>
      </c>
      <c r="AB354" s="2" t="s">
        <v>109</v>
      </c>
      <c r="AC354" s="2" t="s">
        <v>119</v>
      </c>
      <c r="AD354" s="2" t="s">
        <v>109</v>
      </c>
      <c r="AE354" s="2">
        <v>4.3</v>
      </c>
      <c r="AF354" s="2" t="s">
        <v>3023</v>
      </c>
      <c r="AG354" s="3" t="s">
        <v>4303</v>
      </c>
      <c r="AH354" s="3" t="s">
        <v>3025</v>
      </c>
      <c r="AI354" s="2">
        <v>26</v>
      </c>
      <c r="AJ354" s="2" t="s">
        <v>4304</v>
      </c>
      <c r="AK354" s="2" t="s">
        <v>121</v>
      </c>
      <c r="AL354" s="2" t="s">
        <v>3027</v>
      </c>
      <c r="AM354" s="68">
        <v>45252</v>
      </c>
      <c r="AN354" s="2" t="s">
        <v>122</v>
      </c>
      <c r="AO354" s="2" t="s">
        <v>109</v>
      </c>
      <c r="AP354" s="109" t="s">
        <v>109</v>
      </c>
      <c r="AQ354" s="2" t="b">
        <v>0</v>
      </c>
      <c r="AR354" s="2" t="s">
        <v>109</v>
      </c>
      <c r="AS354" s="2" t="s">
        <v>109</v>
      </c>
      <c r="AT354" s="2" t="s">
        <v>118</v>
      </c>
      <c r="AU354" s="2" t="b">
        <v>0</v>
      </c>
      <c r="AV354" s="2" t="s">
        <v>109</v>
      </c>
      <c r="AW354" s="2" t="s">
        <v>109</v>
      </c>
      <c r="AY354" s="2" t="s">
        <v>109</v>
      </c>
      <c r="AZ354" s="2" t="s">
        <v>109</v>
      </c>
      <c r="BA354" s="2" t="s">
        <v>109</v>
      </c>
      <c r="BB354" s="2" t="s">
        <v>109</v>
      </c>
      <c r="BC354" s="2" t="s">
        <v>135</v>
      </c>
      <c r="BD354" s="68" t="s">
        <v>109</v>
      </c>
      <c r="BE354" s="7" t="s">
        <v>109</v>
      </c>
      <c r="BF354" s="2" t="s">
        <v>109</v>
      </c>
      <c r="BG354" s="2" t="s">
        <v>126</v>
      </c>
      <c r="BH354" s="2" t="s">
        <v>109</v>
      </c>
      <c r="BI354" s="68" t="s">
        <v>109</v>
      </c>
      <c r="BJ354" s="68">
        <v>45657</v>
      </c>
      <c r="BK354" s="68" t="s">
        <v>109</v>
      </c>
      <c r="BL354" s="98" t="s">
        <v>109</v>
      </c>
      <c r="BM354" s="2" t="s">
        <v>109</v>
      </c>
      <c r="BN354" s="2" t="b">
        <v>1</v>
      </c>
      <c r="BO354" s="85">
        <v>3560</v>
      </c>
      <c r="BP354" s="2" t="s">
        <v>128</v>
      </c>
      <c r="CF354" s="2" t="s">
        <v>196</v>
      </c>
      <c r="CS354" s="142" t="s">
        <v>4305</v>
      </c>
      <c r="CU354" s="132" t="s">
        <v>3060</v>
      </c>
      <c r="CW354" s="2" t="s">
        <v>3029</v>
      </c>
      <c r="CX354" s="38"/>
    </row>
    <row r="355" spans="1:102" x14ac:dyDescent="0.3">
      <c r="A355" s="4">
        <v>402</v>
      </c>
      <c r="B355" s="217" t="s">
        <v>4306</v>
      </c>
      <c r="C355" s="56"/>
      <c r="D355" s="4"/>
      <c r="E355" s="4"/>
      <c r="F355" s="46"/>
      <c r="G355" s="64"/>
      <c r="H355" s="64"/>
      <c r="I355" s="64"/>
      <c r="J355" s="64"/>
      <c r="K355" s="64"/>
      <c r="L355" s="64"/>
      <c r="M355" s="64"/>
      <c r="N355" s="64"/>
      <c r="O355" s="64"/>
      <c r="Q355" s="64"/>
      <c r="R355" s="64"/>
      <c r="S355" s="64"/>
      <c r="T355" s="64"/>
      <c r="U355" s="87"/>
      <c r="V355" s="4"/>
      <c r="W355" s="4"/>
      <c r="X355" s="4"/>
      <c r="Y355" s="4" t="s">
        <v>429</v>
      </c>
      <c r="AA355" s="4"/>
      <c r="AB355" s="4"/>
      <c r="AC355" s="4"/>
      <c r="AD355" s="91"/>
      <c r="AE355" s="4"/>
      <c r="AF355" s="4" t="s">
        <v>4307</v>
      </c>
      <c r="AG355" s="5" t="s">
        <v>4303</v>
      </c>
      <c r="AH355" s="5" t="s">
        <v>4308</v>
      </c>
      <c r="AI355" s="4"/>
      <c r="AJ355" s="4" t="s">
        <v>4304</v>
      </c>
      <c r="AK355" s="4"/>
      <c r="AL355" s="4" t="s">
        <v>3053</v>
      </c>
      <c r="AM355" s="69"/>
      <c r="AN355" s="91"/>
      <c r="AO355" s="4"/>
      <c r="AP355" s="217"/>
      <c r="AQ355" s="4"/>
      <c r="AR355" s="4"/>
      <c r="AS355" s="4"/>
      <c r="AT355" s="4"/>
      <c r="AU355" s="91"/>
      <c r="AV355" s="4"/>
      <c r="AW355" s="4"/>
      <c r="AY355" s="4"/>
      <c r="AZ355" s="4"/>
      <c r="BA355" s="4"/>
      <c r="BB355" s="4"/>
      <c r="BC355" s="4" t="s">
        <v>135</v>
      </c>
      <c r="BD355" s="4"/>
      <c r="BE355" s="4"/>
      <c r="BF355" s="4"/>
      <c r="BG355" s="4"/>
      <c r="BH355" s="4"/>
      <c r="BI355" s="69"/>
      <c r="BJ355" s="69"/>
      <c r="BK355" s="69"/>
      <c r="BL355" s="97"/>
      <c r="BM355" s="4"/>
      <c r="BN355" s="4"/>
      <c r="BO355" s="91"/>
      <c r="BP355" s="4"/>
      <c r="CF355" s="4"/>
      <c r="CS355" s="147"/>
      <c r="CU355" s="216" t="s">
        <v>3028</v>
      </c>
      <c r="CW355" s="4" t="s">
        <v>4309</v>
      </c>
      <c r="CX355" s="39"/>
    </row>
    <row r="356" spans="1:102" ht="79.2" x14ac:dyDescent="0.3">
      <c r="A356" s="2">
        <v>403</v>
      </c>
      <c r="B356" s="43" t="s">
        <v>2352</v>
      </c>
      <c r="C356" s="7" t="s">
        <v>109</v>
      </c>
      <c r="D356" s="7" t="s">
        <v>109</v>
      </c>
      <c r="E356" s="7" t="s">
        <v>109</v>
      </c>
      <c r="F356" s="47" t="s">
        <v>2353</v>
      </c>
      <c r="G356" s="67" t="s">
        <v>661</v>
      </c>
      <c r="H356" s="67" t="s">
        <v>958</v>
      </c>
      <c r="I356" s="67" t="s">
        <v>109</v>
      </c>
      <c r="J356" s="67" t="s">
        <v>109</v>
      </c>
      <c r="K356" s="67" t="s">
        <v>134</v>
      </c>
      <c r="L356" s="2" t="s">
        <v>1158</v>
      </c>
      <c r="M356" s="67" t="s">
        <v>109</v>
      </c>
      <c r="N356" s="67" t="s">
        <v>109</v>
      </c>
      <c r="O356" s="2" t="s">
        <v>109</v>
      </c>
      <c r="Q356" s="7" t="s">
        <v>109</v>
      </c>
      <c r="R356" s="67" t="s">
        <v>109</v>
      </c>
      <c r="S356" s="67" t="s">
        <v>109</v>
      </c>
      <c r="T356" s="67" t="s">
        <v>109</v>
      </c>
      <c r="U356" s="7" t="s">
        <v>116</v>
      </c>
      <c r="V356" s="7" t="s">
        <v>3022</v>
      </c>
      <c r="W356" s="2" t="b">
        <v>0</v>
      </c>
      <c r="X356" s="7" t="s">
        <v>109</v>
      </c>
      <c r="Y356" s="7" t="s">
        <v>954</v>
      </c>
      <c r="AA356" s="7" t="s">
        <v>109</v>
      </c>
      <c r="AB356" s="7" t="s">
        <v>109</v>
      </c>
      <c r="AC356" s="2" t="s">
        <v>109</v>
      </c>
      <c r="AD356" s="2" t="s">
        <v>109</v>
      </c>
      <c r="AE356" s="2">
        <v>3.1</v>
      </c>
      <c r="AF356" s="2" t="s">
        <v>3023</v>
      </c>
      <c r="AG356" s="3" t="s">
        <v>4310</v>
      </c>
      <c r="AH356" s="3" t="s">
        <v>3025</v>
      </c>
      <c r="AI356" s="2">
        <v>5</v>
      </c>
      <c r="AJ356" s="2" t="s">
        <v>4311</v>
      </c>
      <c r="AK356" s="2" t="s">
        <v>121</v>
      </c>
      <c r="AL356" s="2" t="s">
        <v>3027</v>
      </c>
      <c r="AM356" s="68">
        <v>45343</v>
      </c>
      <c r="AN356" s="2" t="s">
        <v>122</v>
      </c>
      <c r="AO356" s="2" t="s">
        <v>109</v>
      </c>
      <c r="AP356" s="109" t="s">
        <v>109</v>
      </c>
      <c r="AQ356" s="2" t="b">
        <v>0</v>
      </c>
      <c r="AR356" s="2" t="s">
        <v>109</v>
      </c>
      <c r="AS356" s="2" t="s">
        <v>109</v>
      </c>
      <c r="AT356" s="2" t="s">
        <v>109</v>
      </c>
      <c r="AU356" s="2" t="b">
        <v>0</v>
      </c>
      <c r="AV356" s="2" t="s">
        <v>109</v>
      </c>
      <c r="AW356" s="2" t="s">
        <v>109</v>
      </c>
      <c r="AY356" s="2" t="s">
        <v>109</v>
      </c>
      <c r="AZ356" s="2" t="s">
        <v>109</v>
      </c>
      <c r="BA356" s="2" t="s">
        <v>109</v>
      </c>
      <c r="BB356" s="2" t="s">
        <v>109</v>
      </c>
      <c r="BC356" s="2" t="s">
        <v>109</v>
      </c>
      <c r="BD356" s="7" t="s">
        <v>109</v>
      </c>
      <c r="BE356" s="7" t="s">
        <v>109</v>
      </c>
      <c r="BF356" s="7" t="s">
        <v>109</v>
      </c>
      <c r="BG356" s="2" t="s">
        <v>126</v>
      </c>
      <c r="BH356" s="2" t="s">
        <v>109</v>
      </c>
      <c r="BI356" s="76" t="s">
        <v>109</v>
      </c>
      <c r="BJ356" s="68">
        <v>45657</v>
      </c>
      <c r="BK356" s="76" t="s">
        <v>109</v>
      </c>
      <c r="BL356" s="98" t="s">
        <v>109</v>
      </c>
      <c r="BM356" s="98" t="s">
        <v>109</v>
      </c>
      <c r="BN356" s="7" t="b">
        <v>1</v>
      </c>
      <c r="BO356" s="85" t="s">
        <v>118</v>
      </c>
      <c r="BP356" s="2" t="s">
        <v>128</v>
      </c>
      <c r="CF356" s="2">
        <v>2025</v>
      </c>
      <c r="CS356" s="142" t="s">
        <v>4312</v>
      </c>
      <c r="CU356" s="132" t="s">
        <v>3060</v>
      </c>
      <c r="CW356" s="2" t="s">
        <v>3029</v>
      </c>
      <c r="CX356" s="38"/>
    </row>
    <row r="357" spans="1:102" x14ac:dyDescent="0.3">
      <c r="A357" s="4">
        <v>404</v>
      </c>
      <c r="B357" s="217" t="s">
        <v>4313</v>
      </c>
      <c r="C357" s="56"/>
      <c r="D357" s="4"/>
      <c r="E357" s="4"/>
      <c r="F357" s="46"/>
      <c r="G357" s="64"/>
      <c r="H357" s="64"/>
      <c r="I357" s="64"/>
      <c r="J357" s="64"/>
      <c r="K357" s="64"/>
      <c r="L357" s="64"/>
      <c r="M357" s="64"/>
      <c r="N357" s="64"/>
      <c r="O357" s="64"/>
      <c r="Q357" s="64"/>
      <c r="R357" s="64"/>
      <c r="S357" s="64"/>
      <c r="T357" s="64"/>
      <c r="U357" s="87"/>
      <c r="V357" s="4"/>
      <c r="W357" s="4"/>
      <c r="X357" s="4"/>
      <c r="Y357" s="4" t="s">
        <v>954</v>
      </c>
      <c r="AA357" s="4"/>
      <c r="AB357" s="4"/>
      <c r="AC357" s="4"/>
      <c r="AD357" s="91"/>
      <c r="AE357" s="4"/>
      <c r="AF357" s="4" t="s">
        <v>3051</v>
      </c>
      <c r="AG357" s="5" t="s">
        <v>4310</v>
      </c>
      <c r="AH357" s="5" t="s">
        <v>4314</v>
      </c>
      <c r="AI357" s="4"/>
      <c r="AJ357" s="4" t="s">
        <v>4311</v>
      </c>
      <c r="AK357" s="4"/>
      <c r="AL357" s="4" t="s">
        <v>3053</v>
      </c>
      <c r="AM357" s="69"/>
      <c r="AN357" s="91"/>
      <c r="AO357" s="4"/>
      <c r="AP357" s="217"/>
      <c r="AQ357" s="4"/>
      <c r="AR357" s="4"/>
      <c r="AS357" s="4"/>
      <c r="AT357" s="4"/>
      <c r="AU357" s="91"/>
      <c r="AV357" s="4"/>
      <c r="AW357" s="4"/>
      <c r="AY357" s="4"/>
      <c r="AZ357" s="4"/>
      <c r="BA357" s="4"/>
      <c r="BB357" s="4"/>
      <c r="BC357" s="4"/>
      <c r="BD357" s="4"/>
      <c r="BE357" s="4"/>
      <c r="BF357" s="4"/>
      <c r="BG357" s="4"/>
      <c r="BH357" s="4"/>
      <c r="BI357" s="69"/>
      <c r="BJ357" s="69"/>
      <c r="BK357" s="69"/>
      <c r="BL357" s="97"/>
      <c r="BM357" s="4"/>
      <c r="BN357" s="4"/>
      <c r="BO357" s="91"/>
      <c r="BP357" s="4"/>
      <c r="CF357" s="4"/>
      <c r="CS357" s="147"/>
      <c r="CU357" s="216" t="s">
        <v>3187</v>
      </c>
      <c r="CW357" s="4" t="s">
        <v>3938</v>
      </c>
      <c r="CX357" s="39"/>
    </row>
    <row r="358" spans="1:102" x14ac:dyDescent="0.3">
      <c r="A358" s="2">
        <v>405</v>
      </c>
      <c r="B358" s="109" t="s">
        <v>4315</v>
      </c>
      <c r="C358" s="55"/>
      <c r="D358" s="2"/>
      <c r="E358" s="2"/>
      <c r="F358" s="47"/>
      <c r="G358" s="67"/>
      <c r="H358" s="67"/>
      <c r="I358" s="67"/>
      <c r="J358" s="67"/>
      <c r="K358" s="67"/>
      <c r="L358" s="67"/>
      <c r="M358" s="67"/>
      <c r="N358" s="67"/>
      <c r="O358" s="67"/>
      <c r="Q358" s="67"/>
      <c r="R358" s="67"/>
      <c r="S358" s="67"/>
      <c r="T358" s="67"/>
      <c r="U358" s="86"/>
      <c r="V358" s="2"/>
      <c r="W358" s="2"/>
      <c r="X358" s="2"/>
      <c r="Y358" s="2" t="s">
        <v>954</v>
      </c>
      <c r="AA358" s="2"/>
      <c r="AB358" s="2"/>
      <c r="AC358" s="2"/>
      <c r="AD358" s="90"/>
      <c r="AE358" s="2"/>
      <c r="AF358" s="2" t="s">
        <v>3051</v>
      </c>
      <c r="AG358" s="3" t="s">
        <v>4310</v>
      </c>
      <c r="AH358" s="3" t="s">
        <v>4316</v>
      </c>
      <c r="AI358" s="2"/>
      <c r="AJ358" s="2" t="s">
        <v>4311</v>
      </c>
      <c r="AK358" s="2"/>
      <c r="AL358" s="2" t="s">
        <v>3053</v>
      </c>
      <c r="AM358" s="68"/>
      <c r="AN358" s="90"/>
      <c r="AO358" s="2"/>
      <c r="AP358" s="109"/>
      <c r="AQ358" s="2"/>
      <c r="AR358" s="2"/>
      <c r="AS358" s="2"/>
      <c r="AT358" s="2"/>
      <c r="AU358" s="90"/>
      <c r="AV358" s="2"/>
      <c r="AW358" s="2"/>
      <c r="AY358" s="2"/>
      <c r="AZ358" s="2"/>
      <c r="BA358" s="2"/>
      <c r="BB358" s="2"/>
      <c r="BC358" s="2"/>
      <c r="BD358" s="2"/>
      <c r="BE358" s="2"/>
      <c r="BF358" s="2"/>
      <c r="BG358" s="2"/>
      <c r="BH358" s="2"/>
      <c r="BI358" s="68"/>
      <c r="BJ358" s="68"/>
      <c r="BK358" s="68"/>
      <c r="BL358" s="98"/>
      <c r="BM358" s="2"/>
      <c r="BN358" s="2"/>
      <c r="BO358" s="90"/>
      <c r="BP358" s="2"/>
      <c r="CF358" s="2"/>
      <c r="CS358" s="146"/>
      <c r="CU358" s="132" t="s">
        <v>3187</v>
      </c>
      <c r="CW358" s="2" t="s">
        <v>3878</v>
      </c>
      <c r="CX358" s="38"/>
    </row>
    <row r="359" spans="1:102" x14ac:dyDescent="0.3">
      <c r="A359" s="4">
        <v>406</v>
      </c>
      <c r="B359" s="217" t="s">
        <v>4317</v>
      </c>
      <c r="C359" s="56"/>
      <c r="D359" s="4"/>
      <c r="E359" s="4"/>
      <c r="F359" s="46"/>
      <c r="G359" s="64"/>
      <c r="H359" s="64"/>
      <c r="I359" s="64"/>
      <c r="J359" s="64"/>
      <c r="K359" s="64"/>
      <c r="L359" s="64"/>
      <c r="M359" s="64"/>
      <c r="N359" s="64"/>
      <c r="O359" s="64"/>
      <c r="Q359" s="64"/>
      <c r="R359" s="64"/>
      <c r="S359" s="64"/>
      <c r="T359" s="64"/>
      <c r="U359" s="87"/>
      <c r="V359" s="4"/>
      <c r="W359" s="4"/>
      <c r="X359" s="4"/>
      <c r="Y359" s="4" t="s">
        <v>954</v>
      </c>
      <c r="AA359" s="4"/>
      <c r="AB359" s="4"/>
      <c r="AC359" s="4"/>
      <c r="AD359" s="91"/>
      <c r="AE359" s="4"/>
      <c r="AF359" s="4" t="s">
        <v>3051</v>
      </c>
      <c r="AG359" s="5" t="s">
        <v>4310</v>
      </c>
      <c r="AH359" s="5" t="s">
        <v>4318</v>
      </c>
      <c r="AI359" s="4"/>
      <c r="AJ359" s="4" t="s">
        <v>4311</v>
      </c>
      <c r="AK359" s="4"/>
      <c r="AL359" s="4" t="s">
        <v>3053</v>
      </c>
      <c r="AM359" s="69"/>
      <c r="AN359" s="91"/>
      <c r="AO359" s="4"/>
      <c r="AP359" s="217"/>
      <c r="AQ359" s="4"/>
      <c r="AR359" s="4"/>
      <c r="AS359" s="4"/>
      <c r="AT359" s="4"/>
      <c r="AU359" s="91"/>
      <c r="AV359" s="4"/>
      <c r="AW359" s="4"/>
      <c r="AY359" s="4"/>
      <c r="AZ359" s="4"/>
      <c r="BA359" s="4"/>
      <c r="BB359" s="4"/>
      <c r="BC359" s="4"/>
      <c r="BD359" s="4"/>
      <c r="BE359" s="4"/>
      <c r="BF359" s="4"/>
      <c r="BG359" s="4"/>
      <c r="BH359" s="4"/>
      <c r="BI359" s="69"/>
      <c r="BJ359" s="69"/>
      <c r="BK359" s="69"/>
      <c r="BL359" s="97"/>
      <c r="BM359" s="4"/>
      <c r="BN359" s="4"/>
      <c r="BO359" s="91"/>
      <c r="BP359" s="4"/>
      <c r="CF359" s="4"/>
      <c r="CS359" s="147"/>
      <c r="CU359" s="216" t="s">
        <v>3187</v>
      </c>
      <c r="CW359" s="4" t="s">
        <v>4319</v>
      </c>
      <c r="CX359" s="39"/>
    </row>
    <row r="360" spans="1:102" x14ac:dyDescent="0.3">
      <c r="A360" s="2">
        <v>407</v>
      </c>
      <c r="B360" s="43" t="s">
        <v>2376</v>
      </c>
      <c r="C360" s="7">
        <v>-116.944</v>
      </c>
      <c r="D360" s="2">
        <v>32.566000000000003</v>
      </c>
      <c r="E360" s="2" t="s">
        <v>410</v>
      </c>
      <c r="F360" s="47" t="s">
        <v>2377</v>
      </c>
      <c r="G360" s="2" t="s">
        <v>145</v>
      </c>
      <c r="H360" s="2" t="s">
        <v>112</v>
      </c>
      <c r="I360" s="2" t="s">
        <v>112</v>
      </c>
      <c r="J360" s="2" t="s">
        <v>109</v>
      </c>
      <c r="K360" s="2" t="s">
        <v>485</v>
      </c>
      <c r="L360" s="2" t="s">
        <v>504</v>
      </c>
      <c r="M360" s="2" t="s">
        <v>109</v>
      </c>
      <c r="N360" s="2" t="s">
        <v>109</v>
      </c>
      <c r="O360" s="68">
        <v>45568</v>
      </c>
      <c r="Q360" s="2" t="s">
        <v>109</v>
      </c>
      <c r="R360" s="2" t="s">
        <v>109</v>
      </c>
      <c r="S360" s="2" t="s">
        <v>109</v>
      </c>
      <c r="T360" s="2" t="s">
        <v>109</v>
      </c>
      <c r="U360" s="2" t="s">
        <v>404</v>
      </c>
      <c r="V360" s="2" t="s">
        <v>3158</v>
      </c>
      <c r="W360" s="2" t="b">
        <v>0</v>
      </c>
      <c r="X360" s="2" t="s">
        <v>109</v>
      </c>
      <c r="Y360" s="2" t="s">
        <v>2375</v>
      </c>
      <c r="AA360" s="2" t="s">
        <v>109</v>
      </c>
      <c r="AB360" s="2">
        <v>0.94</v>
      </c>
      <c r="AC360" s="2" t="s">
        <v>109</v>
      </c>
      <c r="AD360" s="2" t="s">
        <v>109</v>
      </c>
      <c r="AE360" s="2">
        <v>1</v>
      </c>
      <c r="AF360" s="2" t="s">
        <v>4320</v>
      </c>
      <c r="AG360" s="3" t="s">
        <v>4321</v>
      </c>
      <c r="AH360" s="3" t="s">
        <v>4322</v>
      </c>
      <c r="AI360" s="2">
        <v>1</v>
      </c>
      <c r="AJ360" s="2" t="s">
        <v>4323</v>
      </c>
      <c r="AK360" s="2" t="s">
        <v>121</v>
      </c>
      <c r="AL360" s="2" t="s">
        <v>3027</v>
      </c>
      <c r="AM360" s="68" t="s">
        <v>4324</v>
      </c>
      <c r="AN360" s="2" t="s">
        <v>122</v>
      </c>
      <c r="AO360" s="2">
        <v>2024</v>
      </c>
      <c r="AP360" s="109" t="s">
        <v>109</v>
      </c>
      <c r="AQ360" s="2" t="b">
        <v>0</v>
      </c>
      <c r="AR360" s="2" t="s">
        <v>109</v>
      </c>
      <c r="AS360" s="2" t="s">
        <v>109</v>
      </c>
      <c r="AT360" s="2" t="s">
        <v>109</v>
      </c>
      <c r="AU360" s="2" t="b">
        <v>0</v>
      </c>
      <c r="AV360" s="2" t="s">
        <v>109</v>
      </c>
      <c r="AW360" s="2" t="s">
        <v>109</v>
      </c>
      <c r="AY360" s="2" t="s">
        <v>109</v>
      </c>
      <c r="AZ360" s="2" t="s">
        <v>109</v>
      </c>
      <c r="BA360" s="2" t="s">
        <v>109</v>
      </c>
      <c r="BB360" s="2" t="s">
        <v>109</v>
      </c>
      <c r="BC360" s="7" t="s">
        <v>135</v>
      </c>
      <c r="BD360" s="68" t="s">
        <v>109</v>
      </c>
      <c r="BE360" s="7" t="s">
        <v>2892</v>
      </c>
      <c r="BF360" s="2" t="s">
        <v>109</v>
      </c>
      <c r="BG360" s="2" t="s">
        <v>1146</v>
      </c>
      <c r="BH360" s="2" t="s">
        <v>109</v>
      </c>
      <c r="BI360" s="68" t="s">
        <v>4325</v>
      </c>
      <c r="BJ360" s="68">
        <v>46022</v>
      </c>
      <c r="BK360" s="68">
        <v>45880</v>
      </c>
      <c r="BL360" s="98" t="s">
        <v>109</v>
      </c>
      <c r="BM360" s="98" t="s">
        <v>109</v>
      </c>
      <c r="BN360" s="7" t="b">
        <v>1</v>
      </c>
      <c r="BO360" s="85">
        <v>11703.45757</v>
      </c>
      <c r="BP360" s="2" t="s">
        <v>128</v>
      </c>
      <c r="CF360" s="2">
        <v>2025</v>
      </c>
      <c r="CS360" s="142" t="s">
        <v>2381</v>
      </c>
      <c r="CU360" s="132" t="s">
        <v>3060</v>
      </c>
      <c r="CW360" s="2" t="s">
        <v>3575</v>
      </c>
      <c r="CX360" s="38"/>
    </row>
    <row r="361" spans="1:102" x14ac:dyDescent="0.3">
      <c r="A361" s="4">
        <v>408</v>
      </c>
      <c r="B361" s="44" t="s">
        <v>2382</v>
      </c>
      <c r="C361" s="56">
        <v>-117.19199999999999</v>
      </c>
      <c r="D361" s="4">
        <v>32.765999999999998</v>
      </c>
      <c r="E361" s="4" t="s">
        <v>410</v>
      </c>
      <c r="F361" s="100" t="s">
        <v>2383</v>
      </c>
      <c r="G361" s="64" t="s">
        <v>145</v>
      </c>
      <c r="H361" s="64" t="s">
        <v>112</v>
      </c>
      <c r="I361" s="64" t="s">
        <v>109</v>
      </c>
      <c r="J361" s="64" t="s">
        <v>109</v>
      </c>
      <c r="K361" s="64" t="s">
        <v>485</v>
      </c>
      <c r="L361" s="64" t="s">
        <v>1010</v>
      </c>
      <c r="M361" s="64" t="s">
        <v>109</v>
      </c>
      <c r="N361" s="64" t="s">
        <v>109</v>
      </c>
      <c r="O361" s="6" t="s">
        <v>109</v>
      </c>
      <c r="Q361" s="64" t="s">
        <v>109</v>
      </c>
      <c r="R361" s="64" t="s">
        <v>109</v>
      </c>
      <c r="S361" s="64" t="s">
        <v>109</v>
      </c>
      <c r="T361" s="64" t="s">
        <v>109</v>
      </c>
      <c r="U361" s="4" t="s">
        <v>116</v>
      </c>
      <c r="V361" s="4" t="s">
        <v>117</v>
      </c>
      <c r="W361" s="4" t="b">
        <v>0</v>
      </c>
      <c r="X361" s="4" t="s">
        <v>109</v>
      </c>
      <c r="Y361" s="4" t="s">
        <v>4326</v>
      </c>
      <c r="AA361" s="4" t="s">
        <v>109</v>
      </c>
      <c r="AB361" s="6">
        <v>2.78</v>
      </c>
      <c r="AC361" s="6" t="s">
        <v>119</v>
      </c>
      <c r="AD361" s="4" t="s">
        <v>2384</v>
      </c>
      <c r="AE361" s="4">
        <v>1</v>
      </c>
      <c r="AF361" s="4" t="s">
        <v>4327</v>
      </c>
      <c r="AG361" s="5" t="s">
        <v>4328</v>
      </c>
      <c r="AH361" s="5" t="s">
        <v>4149</v>
      </c>
      <c r="AI361" s="4">
        <v>1</v>
      </c>
      <c r="AJ361" s="4" t="s">
        <v>4329</v>
      </c>
      <c r="AK361" s="4" t="s">
        <v>121</v>
      </c>
      <c r="AL361" s="4" t="s">
        <v>3027</v>
      </c>
      <c r="AM361" s="69" t="s">
        <v>4330</v>
      </c>
      <c r="AN361" s="4" t="s">
        <v>122</v>
      </c>
      <c r="AO361" s="4">
        <v>2024</v>
      </c>
      <c r="AP361" s="217" t="s">
        <v>109</v>
      </c>
      <c r="AQ361" s="4" t="b">
        <v>0</v>
      </c>
      <c r="AR361" s="4" t="s">
        <v>109</v>
      </c>
      <c r="AS361" s="4" t="s">
        <v>109</v>
      </c>
      <c r="AT361" s="4" t="s">
        <v>109</v>
      </c>
      <c r="AU361" s="4" t="b">
        <v>0</v>
      </c>
      <c r="AV361" s="4" t="s">
        <v>109</v>
      </c>
      <c r="AW361" s="4" t="s">
        <v>109</v>
      </c>
      <c r="AY361" s="4" t="s">
        <v>109</v>
      </c>
      <c r="AZ361" s="4" t="s">
        <v>109</v>
      </c>
      <c r="BA361" s="4" t="s">
        <v>109</v>
      </c>
      <c r="BB361" s="4" t="s">
        <v>109</v>
      </c>
      <c r="BC361" s="4" t="s">
        <v>135</v>
      </c>
      <c r="BD361" s="4" t="s">
        <v>109</v>
      </c>
      <c r="BE361" s="4" t="s">
        <v>2892</v>
      </c>
      <c r="BF361" s="4" t="s">
        <v>109</v>
      </c>
      <c r="BG361" s="4" t="s">
        <v>546</v>
      </c>
      <c r="BH361" s="4" t="s">
        <v>109</v>
      </c>
      <c r="BI361" s="122">
        <v>46174</v>
      </c>
      <c r="BJ361" s="69">
        <v>45657</v>
      </c>
      <c r="BK361" s="69">
        <v>46539</v>
      </c>
      <c r="BL361" s="97" t="s">
        <v>109</v>
      </c>
      <c r="BM361" s="97" t="s">
        <v>109</v>
      </c>
      <c r="BN361" s="6" t="b">
        <v>1</v>
      </c>
      <c r="BO361" s="130">
        <v>8648.84476</v>
      </c>
      <c r="BP361" s="4" t="s">
        <v>128</v>
      </c>
      <c r="CF361" s="6">
        <v>2025</v>
      </c>
      <c r="CS361" s="148" t="s">
        <v>2389</v>
      </c>
      <c r="CU361" s="216" t="s">
        <v>3060</v>
      </c>
      <c r="CW361" s="4" t="s">
        <v>3385</v>
      </c>
      <c r="CX361" s="39"/>
    </row>
    <row r="362" spans="1:102" x14ac:dyDescent="0.3">
      <c r="A362" s="2">
        <v>409</v>
      </c>
      <c r="B362" s="43" t="s">
        <v>2390</v>
      </c>
      <c r="C362" s="55">
        <v>32.802999999999997</v>
      </c>
      <c r="D362" s="51">
        <v>-116.976</v>
      </c>
      <c r="E362" s="2" t="s">
        <v>1731</v>
      </c>
      <c r="F362" s="47" t="s">
        <v>2391</v>
      </c>
      <c r="G362" s="67" t="s">
        <v>886</v>
      </c>
      <c r="H362" s="67" t="s">
        <v>113</v>
      </c>
      <c r="I362" s="67" t="s">
        <v>109</v>
      </c>
      <c r="J362" s="67" t="s">
        <v>109</v>
      </c>
      <c r="K362" s="67" t="s">
        <v>114</v>
      </c>
      <c r="L362" s="67" t="s">
        <v>251</v>
      </c>
      <c r="M362" s="67" t="s">
        <v>109</v>
      </c>
      <c r="N362" s="67" t="s">
        <v>109</v>
      </c>
      <c r="O362" s="74">
        <v>45314</v>
      </c>
      <c r="Q362" s="7">
        <v>60</v>
      </c>
      <c r="R362" s="67" t="s">
        <v>109</v>
      </c>
      <c r="S362" s="67" t="s">
        <v>109</v>
      </c>
      <c r="T362" s="67" t="s">
        <v>109</v>
      </c>
      <c r="U362" s="2" t="s">
        <v>116</v>
      </c>
      <c r="V362" s="2" t="s">
        <v>3022</v>
      </c>
      <c r="W362" s="2" t="b">
        <v>0</v>
      </c>
      <c r="X362" s="2" t="s">
        <v>109</v>
      </c>
      <c r="Y362" s="2" t="s">
        <v>820</v>
      </c>
      <c r="AA362" s="2">
        <v>1</v>
      </c>
      <c r="AB362" s="2" t="s">
        <v>118</v>
      </c>
      <c r="AC362" s="2">
        <v>69</v>
      </c>
      <c r="AD362" s="90" t="s">
        <v>109</v>
      </c>
      <c r="AE362" s="2">
        <v>4.0999999999999996</v>
      </c>
      <c r="AF362" s="2" t="s">
        <v>4331</v>
      </c>
      <c r="AG362" s="3" t="s">
        <v>4332</v>
      </c>
      <c r="AH362" s="3" t="s">
        <v>4333</v>
      </c>
      <c r="AI362" s="2">
        <v>1</v>
      </c>
      <c r="AJ362" s="2" t="s">
        <v>4334</v>
      </c>
      <c r="AK362" s="2" t="s">
        <v>121</v>
      </c>
      <c r="AL362" s="2" t="s">
        <v>3027</v>
      </c>
      <c r="AM362" s="68" t="s">
        <v>4335</v>
      </c>
      <c r="AN362" s="2" t="s">
        <v>122</v>
      </c>
      <c r="AO362" s="2" t="s">
        <v>109</v>
      </c>
      <c r="AP362" s="109" t="s">
        <v>109</v>
      </c>
      <c r="AQ362" s="2" t="b">
        <v>0</v>
      </c>
      <c r="AR362" s="2" t="s">
        <v>109</v>
      </c>
      <c r="AS362" s="2" t="s">
        <v>109</v>
      </c>
      <c r="AT362" s="2" t="s">
        <v>109</v>
      </c>
      <c r="AU362" s="2" t="b">
        <v>0</v>
      </c>
      <c r="AV362" s="2" t="s">
        <v>109</v>
      </c>
      <c r="AW362" s="2" t="s">
        <v>109</v>
      </c>
      <c r="AY362" s="2" t="s">
        <v>109</v>
      </c>
      <c r="AZ362" s="2" t="s">
        <v>109</v>
      </c>
      <c r="BA362" s="2" t="s">
        <v>109</v>
      </c>
      <c r="BB362" s="2" t="s">
        <v>109</v>
      </c>
      <c r="BC362" s="2" t="s">
        <v>135</v>
      </c>
      <c r="BD362" s="2" t="s">
        <v>109</v>
      </c>
      <c r="BE362" s="2" t="s">
        <v>109</v>
      </c>
      <c r="BF362" s="2" t="s">
        <v>109</v>
      </c>
      <c r="BG362" s="2" t="s">
        <v>126</v>
      </c>
      <c r="BH362" s="2" t="s">
        <v>109</v>
      </c>
      <c r="BI362" s="68" t="s">
        <v>2395</v>
      </c>
      <c r="BJ362" s="68">
        <v>45534</v>
      </c>
      <c r="BK362" s="68">
        <v>45403</v>
      </c>
      <c r="BL362" s="98" t="s">
        <v>109</v>
      </c>
      <c r="BM362" s="2" t="s">
        <v>109</v>
      </c>
      <c r="BN362" s="2" t="b">
        <v>1</v>
      </c>
      <c r="BO362" s="85">
        <v>6625.1660000000002</v>
      </c>
      <c r="BP362" s="2" t="s">
        <v>128</v>
      </c>
      <c r="CF362" s="7" t="s">
        <v>2295</v>
      </c>
      <c r="CS362" s="142"/>
      <c r="CU362" s="132" t="s">
        <v>3187</v>
      </c>
      <c r="CW362" s="2" t="s">
        <v>3447</v>
      </c>
      <c r="CX362" s="38"/>
    </row>
    <row r="363" spans="1:102" ht="26.4" x14ac:dyDescent="0.3">
      <c r="A363" s="4">
        <v>410</v>
      </c>
      <c r="B363" s="44" t="s">
        <v>2398</v>
      </c>
      <c r="C363" s="53">
        <v>32.917999999999999</v>
      </c>
      <c r="D363" s="53">
        <v>-117.21899999999999</v>
      </c>
      <c r="E363" s="4" t="s">
        <v>329</v>
      </c>
      <c r="F363" s="46" t="s">
        <v>4336</v>
      </c>
      <c r="G363" s="64" t="s">
        <v>2002</v>
      </c>
      <c r="H363" s="64" t="s">
        <v>112</v>
      </c>
      <c r="I363" s="64" t="s">
        <v>109</v>
      </c>
      <c r="J363" s="64" t="s">
        <v>109</v>
      </c>
      <c r="K363" s="64" t="s">
        <v>2918</v>
      </c>
      <c r="L363" s="64" t="s">
        <v>2947</v>
      </c>
      <c r="M363" s="64" t="s">
        <v>706</v>
      </c>
      <c r="N363" s="64" t="s">
        <v>109</v>
      </c>
      <c r="O363" s="66">
        <v>45335.5</v>
      </c>
      <c r="Q363" s="64" t="s">
        <v>109</v>
      </c>
      <c r="R363" s="64" t="s">
        <v>508</v>
      </c>
      <c r="S363" s="64" t="s">
        <v>109</v>
      </c>
      <c r="T363" s="64" t="s">
        <v>2400</v>
      </c>
      <c r="U363" s="4" t="s">
        <v>116</v>
      </c>
      <c r="V363" s="4" t="s">
        <v>117</v>
      </c>
      <c r="W363" s="4" t="b">
        <v>0</v>
      </c>
      <c r="X363" s="4" t="s">
        <v>109</v>
      </c>
      <c r="Y363" s="4" t="s">
        <v>685</v>
      </c>
      <c r="AA363" s="4" t="s">
        <v>118</v>
      </c>
      <c r="AB363" s="4">
        <v>13.94</v>
      </c>
      <c r="AC363" s="4">
        <v>230</v>
      </c>
      <c r="AD363" s="4" t="s">
        <v>180</v>
      </c>
      <c r="AE363" s="4">
        <v>2.1</v>
      </c>
      <c r="AF363" s="4" t="s">
        <v>4337</v>
      </c>
      <c r="AG363" s="5" t="s">
        <v>4338</v>
      </c>
      <c r="AH363" s="5" t="s">
        <v>4339</v>
      </c>
      <c r="AI363" s="4">
        <v>1</v>
      </c>
      <c r="AJ363" s="4" t="s">
        <v>4340</v>
      </c>
      <c r="AK363" s="4" t="s">
        <v>121</v>
      </c>
      <c r="AL363" s="4" t="s">
        <v>3053</v>
      </c>
      <c r="AM363" s="69" t="s">
        <v>109</v>
      </c>
      <c r="AN363" s="4" t="s">
        <v>122</v>
      </c>
      <c r="AO363" s="4" t="s">
        <v>109</v>
      </c>
      <c r="AP363" s="217">
        <v>2023</v>
      </c>
      <c r="AQ363" s="4" t="b">
        <v>0</v>
      </c>
      <c r="AR363" s="4" t="s">
        <v>1209</v>
      </c>
      <c r="AS363" s="4">
        <v>2023</v>
      </c>
      <c r="AT363" s="4" t="s">
        <v>2336</v>
      </c>
      <c r="AU363" s="4" t="b">
        <v>1</v>
      </c>
      <c r="AV363" s="4" t="s">
        <v>109</v>
      </c>
      <c r="AW363" s="4" t="s">
        <v>109</v>
      </c>
      <c r="AY363" s="4" t="s">
        <v>109</v>
      </c>
      <c r="AZ363" s="4" t="s">
        <v>109</v>
      </c>
      <c r="BA363" s="4" t="s">
        <v>109</v>
      </c>
      <c r="BB363" s="4" t="s">
        <v>109</v>
      </c>
      <c r="BC363" s="4" t="s">
        <v>123</v>
      </c>
      <c r="BD363" s="4" t="s">
        <v>109</v>
      </c>
      <c r="BE363" s="4" t="s">
        <v>109</v>
      </c>
      <c r="BF363" s="4" t="s">
        <v>109</v>
      </c>
      <c r="BG363" s="4" t="s">
        <v>425</v>
      </c>
      <c r="BH363" s="4" t="s">
        <v>109</v>
      </c>
      <c r="BI363" s="69">
        <v>45931</v>
      </c>
      <c r="BJ363" s="69">
        <v>48579</v>
      </c>
      <c r="BK363" s="69">
        <v>46175</v>
      </c>
      <c r="BL363" s="97" t="s">
        <v>109</v>
      </c>
      <c r="BM363" s="97" t="s">
        <v>109</v>
      </c>
      <c r="BN363" s="97" t="b">
        <v>0</v>
      </c>
      <c r="BO363" s="130">
        <v>7290</v>
      </c>
      <c r="BP363" s="4" t="s">
        <v>128</v>
      </c>
      <c r="CF363" s="4" t="s">
        <v>109</v>
      </c>
      <c r="CS363" s="152" t="s">
        <v>4341</v>
      </c>
      <c r="CU363" s="216" t="s">
        <v>3060</v>
      </c>
      <c r="CW363" s="4" t="s">
        <v>4342</v>
      </c>
      <c r="CX363" s="39"/>
    </row>
    <row r="364" spans="1:102" ht="26.4" x14ac:dyDescent="0.3">
      <c r="A364" s="2">
        <v>411</v>
      </c>
      <c r="B364" s="43" t="s">
        <v>2407</v>
      </c>
      <c r="C364" s="51">
        <v>32.896000000000001</v>
      </c>
      <c r="D364" s="51">
        <v>-117.205</v>
      </c>
      <c r="E364" s="2" t="s">
        <v>2408</v>
      </c>
      <c r="F364" s="47" t="s">
        <v>2409</v>
      </c>
      <c r="G364" s="67" t="s">
        <v>661</v>
      </c>
      <c r="H364" s="67" t="s">
        <v>958</v>
      </c>
      <c r="I364" s="67" t="s">
        <v>109</v>
      </c>
      <c r="J364" s="67" t="s">
        <v>109</v>
      </c>
      <c r="K364" s="67" t="s">
        <v>2918</v>
      </c>
      <c r="L364" s="67" t="s">
        <v>663</v>
      </c>
      <c r="M364" s="67" t="s">
        <v>706</v>
      </c>
      <c r="N364" s="67" t="s">
        <v>109</v>
      </c>
      <c r="O364" s="74">
        <v>45335.5</v>
      </c>
      <c r="Q364" s="7">
        <v>60</v>
      </c>
      <c r="R364" s="67" t="s">
        <v>508</v>
      </c>
      <c r="S364" s="67" t="s">
        <v>109</v>
      </c>
      <c r="T364" s="67" t="s">
        <v>2411</v>
      </c>
      <c r="U364" s="2" t="s">
        <v>116</v>
      </c>
      <c r="V364" s="2" t="s">
        <v>117</v>
      </c>
      <c r="W364" s="2" t="b">
        <v>0</v>
      </c>
      <c r="X364" s="2" t="s">
        <v>109</v>
      </c>
      <c r="Y364" s="2" t="s">
        <v>2406</v>
      </c>
      <c r="AA364" s="2">
        <v>2</v>
      </c>
      <c r="AB364" s="2" t="s">
        <v>118</v>
      </c>
      <c r="AC364" s="2" t="s">
        <v>2412</v>
      </c>
      <c r="AD364" s="2" t="s">
        <v>109</v>
      </c>
      <c r="AE364" s="2">
        <v>2.1</v>
      </c>
      <c r="AF364" s="2" t="s">
        <v>4343</v>
      </c>
      <c r="AG364" s="3" t="s">
        <v>4344</v>
      </c>
      <c r="AH364" s="3" t="s">
        <v>4345</v>
      </c>
      <c r="AI364" s="2">
        <v>1</v>
      </c>
      <c r="AJ364" s="2" t="s">
        <v>4346</v>
      </c>
      <c r="AK364" s="2" t="s">
        <v>121</v>
      </c>
      <c r="AL364" s="2" t="s">
        <v>3053</v>
      </c>
      <c r="AM364" s="68" t="s">
        <v>109</v>
      </c>
      <c r="AN364" s="2" t="s">
        <v>122</v>
      </c>
      <c r="AO364" s="2" t="s">
        <v>109</v>
      </c>
      <c r="AP364" s="109">
        <v>2023</v>
      </c>
      <c r="AQ364" s="2" t="b">
        <v>0</v>
      </c>
      <c r="AR364" s="2" t="s">
        <v>1209</v>
      </c>
      <c r="AS364" s="2">
        <v>2023</v>
      </c>
      <c r="AT364" s="2" t="s">
        <v>2336</v>
      </c>
      <c r="AU364" s="2" t="b">
        <v>0</v>
      </c>
      <c r="AV364" s="2" t="s">
        <v>109</v>
      </c>
      <c r="AW364" s="2" t="s">
        <v>109</v>
      </c>
      <c r="AY364" s="2" t="s">
        <v>109</v>
      </c>
      <c r="AZ364" s="2" t="s">
        <v>109</v>
      </c>
      <c r="BA364" s="2" t="s">
        <v>109</v>
      </c>
      <c r="BB364" s="2" t="s">
        <v>109</v>
      </c>
      <c r="BC364" s="2" t="s">
        <v>109</v>
      </c>
      <c r="BD364" s="2" t="s">
        <v>109</v>
      </c>
      <c r="BE364" s="2" t="s">
        <v>109</v>
      </c>
      <c r="BF364" s="2" t="s">
        <v>109</v>
      </c>
      <c r="BG364" s="2" t="s">
        <v>546</v>
      </c>
      <c r="BH364" s="2" t="s">
        <v>109</v>
      </c>
      <c r="BI364" s="68" t="s">
        <v>109</v>
      </c>
      <c r="BJ364" s="68">
        <v>48366</v>
      </c>
      <c r="BK364" s="68">
        <v>48579</v>
      </c>
      <c r="BL364" s="98" t="s">
        <v>109</v>
      </c>
      <c r="BM364" s="98" t="s">
        <v>109</v>
      </c>
      <c r="BN364" s="98" t="b">
        <v>0</v>
      </c>
      <c r="BO364" s="85">
        <v>17942</v>
      </c>
      <c r="BP364" s="2" t="s">
        <v>128</v>
      </c>
      <c r="CF364" s="2" t="s">
        <v>109</v>
      </c>
      <c r="CS364" s="153" t="s">
        <v>4341</v>
      </c>
      <c r="CU364" s="132" t="s">
        <v>3187</v>
      </c>
      <c r="CW364" s="2" t="s">
        <v>4347</v>
      </c>
      <c r="CX364" s="38"/>
    </row>
    <row r="365" spans="1:102" x14ac:dyDescent="0.3">
      <c r="A365" s="4">
        <v>413</v>
      </c>
      <c r="B365" s="44" t="s">
        <v>2417</v>
      </c>
      <c r="C365" s="56" t="s">
        <v>109</v>
      </c>
      <c r="D365" s="4" t="s">
        <v>109</v>
      </c>
      <c r="E365" s="4" t="s">
        <v>191</v>
      </c>
      <c r="F365" s="46" t="s">
        <v>2418</v>
      </c>
      <c r="G365" s="64" t="s">
        <v>886</v>
      </c>
      <c r="H365" s="64" t="s">
        <v>113</v>
      </c>
      <c r="I365" s="64" t="s">
        <v>109</v>
      </c>
      <c r="J365" s="64" t="s">
        <v>109</v>
      </c>
      <c r="K365" s="64" t="s">
        <v>114</v>
      </c>
      <c r="L365" s="64" t="s">
        <v>251</v>
      </c>
      <c r="M365" s="64" t="s">
        <v>109</v>
      </c>
      <c r="N365" s="64" t="s">
        <v>109</v>
      </c>
      <c r="O365" s="4" t="s">
        <v>109</v>
      </c>
      <c r="Q365" s="6" t="s">
        <v>109</v>
      </c>
      <c r="R365" s="64" t="s">
        <v>109</v>
      </c>
      <c r="S365" s="64" t="s">
        <v>109</v>
      </c>
      <c r="T365" s="64" t="s">
        <v>109</v>
      </c>
      <c r="U365" s="4" t="s">
        <v>116</v>
      </c>
      <c r="V365" s="4" t="s">
        <v>3022</v>
      </c>
      <c r="W365" s="4" t="b">
        <v>0</v>
      </c>
      <c r="X365" s="4" t="s">
        <v>109</v>
      </c>
      <c r="Y365" s="4" t="s">
        <v>820</v>
      </c>
      <c r="AA365" s="6">
        <v>23</v>
      </c>
      <c r="AB365" s="4" t="s">
        <v>118</v>
      </c>
      <c r="AC365" s="4" t="s">
        <v>119</v>
      </c>
      <c r="AD365" s="91" t="s">
        <v>109</v>
      </c>
      <c r="AE365" s="4">
        <v>4.0999999999999996</v>
      </c>
      <c r="AF365" s="4" t="s">
        <v>3023</v>
      </c>
      <c r="AG365" s="5" t="s">
        <v>4348</v>
      </c>
      <c r="AH365" s="5" t="s">
        <v>3025</v>
      </c>
      <c r="AI365" s="4">
        <v>2</v>
      </c>
      <c r="AJ365" s="4" t="s">
        <v>4349</v>
      </c>
      <c r="AK365" s="4" t="s">
        <v>121</v>
      </c>
      <c r="AL365" s="4" t="s">
        <v>3027</v>
      </c>
      <c r="AM365" s="69" t="s">
        <v>4350</v>
      </c>
      <c r="AN365" s="4" t="s">
        <v>122</v>
      </c>
      <c r="AO365" s="4">
        <v>2024</v>
      </c>
      <c r="AP365" s="217" t="s">
        <v>109</v>
      </c>
      <c r="AQ365" s="4" t="b">
        <v>0</v>
      </c>
      <c r="AR365" s="4" t="s">
        <v>109</v>
      </c>
      <c r="AS365" s="4" t="s">
        <v>109</v>
      </c>
      <c r="AT365" s="4" t="s">
        <v>109</v>
      </c>
      <c r="AU365" s="4" t="b">
        <v>0</v>
      </c>
      <c r="AV365" s="4" t="s">
        <v>109</v>
      </c>
      <c r="AW365" s="4" t="s">
        <v>109</v>
      </c>
      <c r="AY365" s="4" t="s">
        <v>109</v>
      </c>
      <c r="AZ365" s="4" t="s">
        <v>109</v>
      </c>
      <c r="BA365" s="4" t="s">
        <v>109</v>
      </c>
      <c r="BB365" s="4" t="s">
        <v>109</v>
      </c>
      <c r="BC365" s="4" t="s">
        <v>135</v>
      </c>
      <c r="BD365" s="4" t="s">
        <v>109</v>
      </c>
      <c r="BE365" s="4" t="s">
        <v>109</v>
      </c>
      <c r="BF365" s="4" t="s">
        <v>109</v>
      </c>
      <c r="BG365" s="6" t="s">
        <v>296</v>
      </c>
      <c r="BH365" s="4" t="s">
        <v>109</v>
      </c>
      <c r="BI365" s="69" t="s">
        <v>109</v>
      </c>
      <c r="BJ365" s="69">
        <v>45657</v>
      </c>
      <c r="BK365" s="69" t="s">
        <v>109</v>
      </c>
      <c r="BL365" s="97" t="s">
        <v>109</v>
      </c>
      <c r="BM365" s="4" t="s">
        <v>109</v>
      </c>
      <c r="BN365" s="97" t="b">
        <v>0</v>
      </c>
      <c r="BO365" s="130">
        <v>31289.713759999999</v>
      </c>
      <c r="BP365" s="4" t="s">
        <v>128</v>
      </c>
      <c r="CF365" s="6" t="s">
        <v>109</v>
      </c>
      <c r="CS365" s="144"/>
      <c r="CU365" s="216" t="s">
        <v>3187</v>
      </c>
      <c r="CW365" s="4" t="s">
        <v>3029</v>
      </c>
      <c r="CX365" s="39"/>
    </row>
    <row r="366" spans="1:102" ht="26.4" x14ac:dyDescent="0.3">
      <c r="A366" s="2">
        <v>414</v>
      </c>
      <c r="B366" s="43" t="s">
        <v>2420</v>
      </c>
      <c r="C366" s="55" t="s">
        <v>109</v>
      </c>
      <c r="D366" s="2" t="s">
        <v>109</v>
      </c>
      <c r="E366" s="2" t="s">
        <v>191</v>
      </c>
      <c r="F366" s="47" t="s">
        <v>2418</v>
      </c>
      <c r="G366" s="67" t="s">
        <v>886</v>
      </c>
      <c r="H366" s="67" t="s">
        <v>113</v>
      </c>
      <c r="I366" s="67" t="s">
        <v>109</v>
      </c>
      <c r="J366" s="67" t="s">
        <v>109</v>
      </c>
      <c r="K366" s="67" t="s">
        <v>114</v>
      </c>
      <c r="L366" s="67" t="s">
        <v>1453</v>
      </c>
      <c r="M366" s="67" t="s">
        <v>109</v>
      </c>
      <c r="N366" s="67" t="s">
        <v>109</v>
      </c>
      <c r="O366" s="74" t="s">
        <v>4351</v>
      </c>
      <c r="Q366" s="7" t="s">
        <v>109</v>
      </c>
      <c r="R366" s="67" t="s">
        <v>109</v>
      </c>
      <c r="S366" s="67" t="s">
        <v>109</v>
      </c>
      <c r="T366" s="67" t="s">
        <v>109</v>
      </c>
      <c r="U366" s="2" t="s">
        <v>116</v>
      </c>
      <c r="V366" s="2" t="s">
        <v>3158</v>
      </c>
      <c r="W366" s="2" t="b">
        <v>0</v>
      </c>
      <c r="X366" s="2" t="s">
        <v>109</v>
      </c>
      <c r="Y366" s="2" t="s">
        <v>820</v>
      </c>
      <c r="AA366" s="2">
        <v>3</v>
      </c>
      <c r="AB366" s="2" t="s">
        <v>118</v>
      </c>
      <c r="AC366" s="90" t="s">
        <v>215</v>
      </c>
      <c r="AD366" s="90" t="s">
        <v>109</v>
      </c>
      <c r="AE366" s="2">
        <v>4.0999999999999996</v>
      </c>
      <c r="AF366" s="2" t="s">
        <v>4352</v>
      </c>
      <c r="AG366" s="3" t="s">
        <v>4348</v>
      </c>
      <c r="AH366" s="3" t="s">
        <v>4353</v>
      </c>
      <c r="AI366" s="2">
        <v>1</v>
      </c>
      <c r="AJ366" s="2" t="s">
        <v>4349</v>
      </c>
      <c r="AK366" s="2" t="s">
        <v>121</v>
      </c>
      <c r="AL366" s="2" t="s">
        <v>3027</v>
      </c>
      <c r="AM366" s="68">
        <v>45447</v>
      </c>
      <c r="AN366" s="2" t="s">
        <v>122</v>
      </c>
      <c r="AO366" s="2">
        <v>2024</v>
      </c>
      <c r="AP366" s="109" t="s">
        <v>109</v>
      </c>
      <c r="AQ366" s="2" t="b">
        <v>0</v>
      </c>
      <c r="AR366" s="2" t="s">
        <v>109</v>
      </c>
      <c r="AS366" s="2" t="s">
        <v>109</v>
      </c>
      <c r="AT366" s="2" t="s">
        <v>109</v>
      </c>
      <c r="AU366" s="2" t="b">
        <v>0</v>
      </c>
      <c r="AV366" s="2" t="s">
        <v>109</v>
      </c>
      <c r="AW366" s="2" t="s">
        <v>109</v>
      </c>
      <c r="AY366" s="2" t="s">
        <v>109</v>
      </c>
      <c r="AZ366" s="2" t="s">
        <v>109</v>
      </c>
      <c r="BA366" s="2" t="s">
        <v>109</v>
      </c>
      <c r="BB366" s="2" t="s">
        <v>109</v>
      </c>
      <c r="BC366" s="2" t="s">
        <v>135</v>
      </c>
      <c r="BD366" s="2" t="s">
        <v>109</v>
      </c>
      <c r="BE366" s="2" t="s">
        <v>2892</v>
      </c>
      <c r="BF366" s="2" t="s">
        <v>109</v>
      </c>
      <c r="BG366" s="2" t="s">
        <v>322</v>
      </c>
      <c r="BH366" s="2" t="s">
        <v>109</v>
      </c>
      <c r="BI366" s="68">
        <v>45566</v>
      </c>
      <c r="BJ366" s="68">
        <v>45657</v>
      </c>
      <c r="BK366" s="68">
        <v>45731</v>
      </c>
      <c r="BL366" s="98" t="s">
        <v>109</v>
      </c>
      <c r="BM366" s="2" t="s">
        <v>109</v>
      </c>
      <c r="BN366" s="98" t="b">
        <v>0</v>
      </c>
      <c r="BO366" s="85">
        <v>134697.32191</v>
      </c>
      <c r="BP366" s="2" t="s">
        <v>128</v>
      </c>
      <c r="CF366" s="7" t="s">
        <v>109</v>
      </c>
      <c r="CS366" s="142" t="s">
        <v>2425</v>
      </c>
      <c r="CU366" s="132" t="s">
        <v>3187</v>
      </c>
      <c r="CW366" s="2" t="s">
        <v>4354</v>
      </c>
      <c r="CX366" s="38"/>
    </row>
    <row r="367" spans="1:102" ht="26.4" x14ac:dyDescent="0.3">
      <c r="A367" s="4">
        <v>415</v>
      </c>
      <c r="B367" s="44" t="s">
        <v>2426</v>
      </c>
      <c r="C367" s="56">
        <v>-117.245</v>
      </c>
      <c r="D367" s="4">
        <v>33.152999999999999</v>
      </c>
      <c r="E367" s="4" t="s">
        <v>4355</v>
      </c>
      <c r="F367" s="46" t="s">
        <v>4356</v>
      </c>
      <c r="G367" s="64" t="s">
        <v>811</v>
      </c>
      <c r="H367" s="64" t="s">
        <v>113</v>
      </c>
      <c r="I367" s="64" t="s">
        <v>109</v>
      </c>
      <c r="J367" s="64" t="s">
        <v>109</v>
      </c>
      <c r="K367" s="64" t="s">
        <v>2429</v>
      </c>
      <c r="L367" s="64" t="s">
        <v>812</v>
      </c>
      <c r="M367" s="64" t="s">
        <v>706</v>
      </c>
      <c r="N367" s="64" t="s">
        <v>706</v>
      </c>
      <c r="O367" s="66">
        <v>45436</v>
      </c>
      <c r="Q367" s="6">
        <v>60</v>
      </c>
      <c r="R367" s="64" t="s">
        <v>508</v>
      </c>
      <c r="S367" s="64" t="s">
        <v>509</v>
      </c>
      <c r="T367" s="64" t="s">
        <v>2430</v>
      </c>
      <c r="U367" s="4" t="s">
        <v>116</v>
      </c>
      <c r="V367" s="4" t="s">
        <v>3158</v>
      </c>
      <c r="W367" s="4" t="b">
        <v>0</v>
      </c>
      <c r="X367" s="4" t="s">
        <v>109</v>
      </c>
      <c r="Y367" s="4" t="s">
        <v>499</v>
      </c>
      <c r="AA367" s="4">
        <v>6.3</v>
      </c>
      <c r="AB367" s="4" t="s">
        <v>109</v>
      </c>
      <c r="AC367" s="91" t="s">
        <v>373</v>
      </c>
      <c r="AD367" s="91" t="s">
        <v>109</v>
      </c>
      <c r="AE367" s="4">
        <v>2</v>
      </c>
      <c r="AF367" s="4" t="s">
        <v>4357</v>
      </c>
      <c r="AG367" s="5" t="s">
        <v>4358</v>
      </c>
      <c r="AH367" s="5" t="s">
        <v>4359</v>
      </c>
      <c r="AI367" s="4">
        <v>1</v>
      </c>
      <c r="AJ367" s="4" t="s">
        <v>4360</v>
      </c>
      <c r="AK367" s="4" t="s">
        <v>121</v>
      </c>
      <c r="AL367" s="114" t="s">
        <v>3053</v>
      </c>
      <c r="AM367" s="69" t="s">
        <v>109</v>
      </c>
      <c r="AN367" s="4" t="s">
        <v>122</v>
      </c>
      <c r="AO367" s="4">
        <v>2024</v>
      </c>
      <c r="AP367" s="217">
        <v>2023</v>
      </c>
      <c r="AQ367" s="4" t="b">
        <v>0</v>
      </c>
      <c r="AR367" s="4" t="s">
        <v>1209</v>
      </c>
      <c r="AS367" s="4">
        <v>2023</v>
      </c>
      <c r="AT367" s="4" t="s">
        <v>2336</v>
      </c>
      <c r="AU367" s="4" t="b">
        <v>0</v>
      </c>
      <c r="AV367" s="4" t="s">
        <v>109</v>
      </c>
      <c r="AW367" s="4" t="s">
        <v>109</v>
      </c>
      <c r="AY367" s="4" t="s">
        <v>109</v>
      </c>
      <c r="AZ367" s="4" t="s">
        <v>109</v>
      </c>
      <c r="BA367" s="4" t="s">
        <v>109</v>
      </c>
      <c r="BB367" s="4" t="s">
        <v>109</v>
      </c>
      <c r="BC367" s="4" t="s">
        <v>123</v>
      </c>
      <c r="BD367" s="4" t="s">
        <v>2433</v>
      </c>
      <c r="BE367" s="4" t="s">
        <v>125</v>
      </c>
      <c r="BF367" s="4">
        <v>2030</v>
      </c>
      <c r="BG367" s="4" t="s">
        <v>296</v>
      </c>
      <c r="BH367" s="4" t="s">
        <v>109</v>
      </c>
      <c r="BI367" s="69">
        <v>46297</v>
      </c>
      <c r="BJ367" s="69">
        <v>48579</v>
      </c>
      <c r="BK367" s="69">
        <v>48579</v>
      </c>
      <c r="BL367" s="97" t="s">
        <v>109</v>
      </c>
      <c r="BM367" s="4" t="s">
        <v>109</v>
      </c>
      <c r="BN367" s="97" t="b">
        <v>0</v>
      </c>
      <c r="BO367" s="130">
        <v>2000</v>
      </c>
      <c r="BP367" s="4" t="s">
        <v>128</v>
      </c>
      <c r="CF367" s="6" t="s">
        <v>109</v>
      </c>
      <c r="CS367" s="144"/>
      <c r="CU367" s="216" t="s">
        <v>3187</v>
      </c>
      <c r="CW367" s="4" t="s">
        <v>4361</v>
      </c>
      <c r="CX367" s="39"/>
    </row>
    <row r="368" spans="1:102" ht="26.4" x14ac:dyDescent="0.3">
      <c r="A368" s="2">
        <v>416</v>
      </c>
      <c r="B368" s="43" t="s">
        <v>2435</v>
      </c>
      <c r="C368" s="55">
        <v>-117.104</v>
      </c>
      <c r="D368" s="2">
        <v>32.948</v>
      </c>
      <c r="E368" s="2" t="s">
        <v>1216</v>
      </c>
      <c r="F368" s="47" t="s">
        <v>2437</v>
      </c>
      <c r="G368" s="67" t="s">
        <v>811</v>
      </c>
      <c r="H368" s="67" t="s">
        <v>113</v>
      </c>
      <c r="I368" s="67" t="s">
        <v>109</v>
      </c>
      <c r="J368" s="67" t="s">
        <v>109</v>
      </c>
      <c r="K368" s="67" t="s">
        <v>2429</v>
      </c>
      <c r="L368" s="67" t="s">
        <v>812</v>
      </c>
      <c r="M368" s="67" t="s">
        <v>706</v>
      </c>
      <c r="N368" s="67" t="s">
        <v>706</v>
      </c>
      <c r="O368" s="74">
        <v>45353</v>
      </c>
      <c r="Q368" s="7">
        <v>60</v>
      </c>
      <c r="R368" s="67" t="s">
        <v>508</v>
      </c>
      <c r="S368" s="67" t="s">
        <v>509</v>
      </c>
      <c r="T368" s="67" t="s">
        <v>2430</v>
      </c>
      <c r="U368" s="2" t="s">
        <v>404</v>
      </c>
      <c r="V368" s="2" t="s">
        <v>3158</v>
      </c>
      <c r="W368" s="2" t="b">
        <v>0</v>
      </c>
      <c r="X368" s="2" t="s">
        <v>109</v>
      </c>
      <c r="Y368" s="2" t="s">
        <v>499</v>
      </c>
      <c r="AA368" s="2">
        <v>6</v>
      </c>
      <c r="AB368" s="2" t="s">
        <v>109</v>
      </c>
      <c r="AC368" s="90" t="s">
        <v>1313</v>
      </c>
      <c r="AD368" s="90" t="s">
        <v>109</v>
      </c>
      <c r="AE368" s="2">
        <v>2</v>
      </c>
      <c r="AF368" s="2" t="s">
        <v>4362</v>
      </c>
      <c r="AG368" s="3" t="s">
        <v>4363</v>
      </c>
      <c r="AH368" s="3" t="s">
        <v>4364</v>
      </c>
      <c r="AI368" s="2">
        <v>1</v>
      </c>
      <c r="AJ368" s="2" t="s">
        <v>4365</v>
      </c>
      <c r="AK368" s="2" t="s">
        <v>121</v>
      </c>
      <c r="AL368" s="115" t="s">
        <v>3053</v>
      </c>
      <c r="AM368" s="68" t="s">
        <v>109</v>
      </c>
      <c r="AN368" s="2" t="s">
        <v>122</v>
      </c>
      <c r="AO368" s="2">
        <v>2024</v>
      </c>
      <c r="AP368" s="109">
        <v>2023</v>
      </c>
      <c r="AQ368" s="2" t="b">
        <v>0</v>
      </c>
      <c r="AR368" s="2" t="s">
        <v>1209</v>
      </c>
      <c r="AS368" s="2">
        <v>2023</v>
      </c>
      <c r="AT368" s="2" t="s">
        <v>2336</v>
      </c>
      <c r="AU368" s="2" t="b">
        <v>0</v>
      </c>
      <c r="AV368" s="2" t="s">
        <v>109</v>
      </c>
      <c r="AW368" s="2" t="s">
        <v>109</v>
      </c>
      <c r="AY368" s="2" t="s">
        <v>109</v>
      </c>
      <c r="AZ368" s="2" t="s">
        <v>109</v>
      </c>
      <c r="BA368" s="2" t="s">
        <v>109</v>
      </c>
      <c r="BB368" s="2" t="s">
        <v>109</v>
      </c>
      <c r="BC368" s="2" t="s">
        <v>123</v>
      </c>
      <c r="BD368" s="2" t="s">
        <v>123</v>
      </c>
      <c r="BE368" s="2" t="s">
        <v>2892</v>
      </c>
      <c r="BF368" s="2" t="s">
        <v>123</v>
      </c>
      <c r="BG368" s="2" t="s">
        <v>296</v>
      </c>
      <c r="BH368" s="2" t="s">
        <v>109</v>
      </c>
      <c r="BI368" s="68" t="s">
        <v>123</v>
      </c>
      <c r="BJ368" s="68">
        <v>48579</v>
      </c>
      <c r="BK368" s="68">
        <v>48579</v>
      </c>
      <c r="BL368" s="98" t="s">
        <v>109</v>
      </c>
      <c r="BM368" s="2" t="s">
        <v>109</v>
      </c>
      <c r="BN368" s="98" t="b">
        <v>0</v>
      </c>
      <c r="BO368" s="85">
        <v>2000</v>
      </c>
      <c r="BP368" s="2" t="s">
        <v>128</v>
      </c>
      <c r="CF368" s="7" t="s">
        <v>109</v>
      </c>
      <c r="CS368" s="142" t="s">
        <v>2381</v>
      </c>
      <c r="CU368" s="132" t="s">
        <v>3187</v>
      </c>
      <c r="CW368" s="2" t="s">
        <v>4366</v>
      </c>
      <c r="CX368" s="38"/>
    </row>
    <row r="369" spans="1:102" x14ac:dyDescent="0.3">
      <c r="A369" s="4">
        <v>417</v>
      </c>
      <c r="B369" s="44" t="s">
        <v>2441</v>
      </c>
      <c r="C369" s="56">
        <v>-117.221</v>
      </c>
      <c r="D369" s="4">
        <v>32.959000000000003</v>
      </c>
      <c r="E369" s="4" t="s">
        <v>410</v>
      </c>
      <c r="F369" s="46" t="s">
        <v>2442</v>
      </c>
      <c r="G369" s="64" t="s">
        <v>145</v>
      </c>
      <c r="H369" s="64" t="s">
        <v>112</v>
      </c>
      <c r="I369" s="64" t="s">
        <v>109</v>
      </c>
      <c r="J369" s="64" t="s">
        <v>109</v>
      </c>
      <c r="K369" s="64" t="s">
        <v>485</v>
      </c>
      <c r="L369" s="64" t="s">
        <v>504</v>
      </c>
      <c r="M369" s="64" t="s">
        <v>109</v>
      </c>
      <c r="N369" s="64" t="s">
        <v>109</v>
      </c>
      <c r="O369" s="69">
        <v>45545</v>
      </c>
      <c r="Q369" s="64" t="s">
        <v>109</v>
      </c>
      <c r="R369" s="64" t="s">
        <v>109</v>
      </c>
      <c r="S369" s="64" t="s">
        <v>109</v>
      </c>
      <c r="T369" s="64" t="s">
        <v>109</v>
      </c>
      <c r="U369" s="4" t="s">
        <v>116</v>
      </c>
      <c r="V369" s="4" t="s">
        <v>3158</v>
      </c>
      <c r="W369" s="4" t="b">
        <v>0</v>
      </c>
      <c r="X369" s="4" t="s">
        <v>109</v>
      </c>
      <c r="Y369" s="4" t="s">
        <v>499</v>
      </c>
      <c r="AA369" s="4" t="s">
        <v>109</v>
      </c>
      <c r="AB369" s="4">
        <v>1.04</v>
      </c>
      <c r="AC369" s="91" t="s">
        <v>1267</v>
      </c>
      <c r="AD369" s="91" t="s">
        <v>1267</v>
      </c>
      <c r="AE369" s="4">
        <v>4</v>
      </c>
      <c r="AF369" s="4" t="s">
        <v>4367</v>
      </c>
      <c r="AG369" s="5" t="s">
        <v>4368</v>
      </c>
      <c r="AH369" s="5" t="s">
        <v>4369</v>
      </c>
      <c r="AI369" s="4">
        <v>1</v>
      </c>
      <c r="AJ369" s="4" t="s">
        <v>4370</v>
      </c>
      <c r="AK369" s="4" t="s">
        <v>121</v>
      </c>
      <c r="AL369" s="4" t="s">
        <v>3027</v>
      </c>
      <c r="AM369" s="69" t="s">
        <v>4371</v>
      </c>
      <c r="AN369" s="4" t="s">
        <v>122</v>
      </c>
      <c r="AO369" s="4">
        <v>2024</v>
      </c>
      <c r="AP369" s="217" t="s">
        <v>109</v>
      </c>
      <c r="AQ369" s="4" t="b">
        <v>0</v>
      </c>
      <c r="AR369" s="4" t="s">
        <v>109</v>
      </c>
      <c r="AS369" s="4" t="s">
        <v>109</v>
      </c>
      <c r="AT369" s="4" t="s">
        <v>109</v>
      </c>
      <c r="AU369" s="4" t="b">
        <v>0</v>
      </c>
      <c r="AV369" s="4" t="s">
        <v>109</v>
      </c>
      <c r="AW369" s="4" t="s">
        <v>109</v>
      </c>
      <c r="AY369" s="4" t="s">
        <v>109</v>
      </c>
      <c r="AZ369" s="4" t="s">
        <v>109</v>
      </c>
      <c r="BA369" s="4" t="s">
        <v>109</v>
      </c>
      <c r="BB369" s="4" t="s">
        <v>109</v>
      </c>
      <c r="BC369" s="4" t="s">
        <v>123</v>
      </c>
      <c r="BD369" s="4" t="s">
        <v>123</v>
      </c>
      <c r="BE369" s="4" t="s">
        <v>2892</v>
      </c>
      <c r="BF369" s="4" t="s">
        <v>123</v>
      </c>
      <c r="BG369" s="4" t="s">
        <v>296</v>
      </c>
      <c r="BH369" s="4" t="s">
        <v>109</v>
      </c>
      <c r="BI369" s="69" t="s">
        <v>123</v>
      </c>
      <c r="BJ369" s="69">
        <v>47483</v>
      </c>
      <c r="BK369" s="69" t="s">
        <v>123</v>
      </c>
      <c r="BL369" s="97" t="s">
        <v>109</v>
      </c>
      <c r="BM369" s="4" t="s">
        <v>109</v>
      </c>
      <c r="BN369" s="97" t="b">
        <v>0</v>
      </c>
      <c r="BO369" s="130">
        <v>2003.252</v>
      </c>
      <c r="BP369" s="4" t="s">
        <v>128</v>
      </c>
      <c r="CF369" s="6" t="s">
        <v>109</v>
      </c>
      <c r="CS369" s="143" t="s">
        <v>2381</v>
      </c>
      <c r="CU369" s="216" t="s">
        <v>3060</v>
      </c>
      <c r="CW369" s="4" t="s">
        <v>4372</v>
      </c>
      <c r="CX369" s="39"/>
    </row>
    <row r="370" spans="1:102" x14ac:dyDescent="0.3">
      <c r="A370" s="2">
        <v>418</v>
      </c>
      <c r="B370" s="109" t="s">
        <v>4373</v>
      </c>
      <c r="C370" s="55"/>
      <c r="D370" s="2"/>
      <c r="E370" s="2"/>
      <c r="F370" s="47"/>
      <c r="G370" s="67"/>
      <c r="H370" s="67"/>
      <c r="I370" s="67"/>
      <c r="J370" s="67"/>
      <c r="K370" s="67"/>
      <c r="L370" s="67"/>
      <c r="M370" s="67"/>
      <c r="N370" s="67"/>
      <c r="O370" s="67"/>
      <c r="Q370" s="67"/>
      <c r="R370" s="67"/>
      <c r="S370" s="67"/>
      <c r="T370" s="67"/>
      <c r="U370" s="86"/>
      <c r="V370" s="2"/>
      <c r="W370" s="2"/>
      <c r="X370" s="2"/>
      <c r="Y370" s="2" t="s">
        <v>481</v>
      </c>
      <c r="AA370" s="2"/>
      <c r="AB370" s="2"/>
      <c r="AC370" s="2"/>
      <c r="AD370" s="90"/>
      <c r="AE370" s="2"/>
      <c r="AF370" s="2" t="s">
        <v>3051</v>
      </c>
      <c r="AG370" s="3" t="s">
        <v>4374</v>
      </c>
      <c r="AH370" s="3" t="s">
        <v>4375</v>
      </c>
      <c r="AI370" s="2"/>
      <c r="AJ370" s="2" t="s">
        <v>4376</v>
      </c>
      <c r="AK370" s="2"/>
      <c r="AL370" s="2" t="s">
        <v>3053</v>
      </c>
      <c r="AM370" s="68"/>
      <c r="AN370" s="90"/>
      <c r="AO370" s="2"/>
      <c r="AP370" s="109"/>
      <c r="AQ370" s="2"/>
      <c r="AR370" s="2"/>
      <c r="AS370" s="2"/>
      <c r="AT370" s="2"/>
      <c r="AU370" s="90"/>
      <c r="AV370" s="2"/>
      <c r="AW370" s="2"/>
      <c r="AY370" s="2"/>
      <c r="AZ370" s="2"/>
      <c r="BA370" s="2"/>
      <c r="BB370" s="2"/>
      <c r="BC370" s="2"/>
      <c r="BD370" s="2"/>
      <c r="BE370" s="2"/>
      <c r="BF370" s="2"/>
      <c r="BG370" s="2"/>
      <c r="BH370" s="2"/>
      <c r="BI370" s="68"/>
      <c r="BJ370" s="68"/>
      <c r="BK370" s="68"/>
      <c r="BL370" s="98"/>
      <c r="BM370" s="2"/>
      <c r="BN370" s="2"/>
      <c r="BO370" s="90"/>
      <c r="BP370" s="2"/>
      <c r="CF370" s="2"/>
      <c r="CS370" s="146"/>
      <c r="CU370" s="226" t="s">
        <v>3028</v>
      </c>
      <c r="CW370" s="2" t="s">
        <v>3802</v>
      </c>
      <c r="CX370" s="38"/>
    </row>
    <row r="371" spans="1:102" x14ac:dyDescent="0.3">
      <c r="A371" s="4">
        <v>420</v>
      </c>
      <c r="B371" s="217" t="s">
        <v>4377</v>
      </c>
      <c r="C371" s="56"/>
      <c r="D371" s="4"/>
      <c r="E371" s="4"/>
      <c r="F371" s="46"/>
      <c r="G371" s="64"/>
      <c r="H371" s="64"/>
      <c r="I371" s="64"/>
      <c r="J371" s="64"/>
      <c r="K371" s="64"/>
      <c r="L371" s="64"/>
      <c r="M371" s="64"/>
      <c r="N371" s="64"/>
      <c r="O371" s="64"/>
      <c r="Q371" s="64"/>
      <c r="R371" s="64"/>
      <c r="S371" s="64"/>
      <c r="T371" s="64"/>
      <c r="U371" s="87"/>
      <c r="V371" s="4"/>
      <c r="W371" s="4"/>
      <c r="X371" s="4"/>
      <c r="Y371" s="4" t="s">
        <v>4260</v>
      </c>
      <c r="AA371" s="4"/>
      <c r="AB371" s="4"/>
      <c r="AC371" s="4"/>
      <c r="AD371" s="91"/>
      <c r="AE371" s="4"/>
      <c r="AF371" s="4" t="s">
        <v>3051</v>
      </c>
      <c r="AG371" s="5" t="s">
        <v>4378</v>
      </c>
      <c r="AH371" s="5" t="s">
        <v>4379</v>
      </c>
      <c r="AI371" s="4"/>
      <c r="AJ371" s="4" t="s">
        <v>4380</v>
      </c>
      <c r="AK371" s="4"/>
      <c r="AL371" s="4" t="s">
        <v>3053</v>
      </c>
      <c r="AM371" s="69"/>
      <c r="AN371" s="91"/>
      <c r="AO371" s="4"/>
      <c r="AP371" s="217"/>
      <c r="AQ371" s="4"/>
      <c r="AR371" s="4"/>
      <c r="AS371" s="4"/>
      <c r="AT371" s="4"/>
      <c r="AU371" s="91"/>
      <c r="AV371" s="4"/>
      <c r="AW371" s="4"/>
      <c r="AY371" s="4"/>
      <c r="AZ371" s="4"/>
      <c r="BA371" s="4"/>
      <c r="BB371" s="4"/>
      <c r="BC371" s="4"/>
      <c r="BD371" s="4"/>
      <c r="BE371" s="4"/>
      <c r="BF371" s="4"/>
      <c r="BG371" s="4"/>
      <c r="BH371" s="4"/>
      <c r="BI371" s="69"/>
      <c r="BJ371" s="69"/>
      <c r="BK371" s="69"/>
      <c r="BL371" s="97"/>
      <c r="BM371" s="4"/>
      <c r="BN371" s="4"/>
      <c r="BO371" s="91"/>
      <c r="BP371" s="4"/>
      <c r="CF371" s="4"/>
      <c r="CS371" s="147"/>
      <c r="CU371" s="216" t="s">
        <v>3028</v>
      </c>
      <c r="CW371" s="4" t="s">
        <v>3575</v>
      </c>
      <c r="CX371" s="39"/>
    </row>
    <row r="372" spans="1:102" x14ac:dyDescent="0.3">
      <c r="A372" s="2">
        <v>421</v>
      </c>
      <c r="B372" s="109" t="s">
        <v>4381</v>
      </c>
      <c r="C372" s="55"/>
      <c r="D372" s="2"/>
      <c r="E372" s="2"/>
      <c r="F372" s="47"/>
      <c r="G372" s="67"/>
      <c r="H372" s="67"/>
      <c r="I372" s="67"/>
      <c r="J372" s="67"/>
      <c r="K372" s="67"/>
      <c r="L372" s="67"/>
      <c r="M372" s="67"/>
      <c r="N372" s="67"/>
      <c r="O372" s="67"/>
      <c r="Q372" s="67"/>
      <c r="R372" s="67"/>
      <c r="S372" s="67"/>
      <c r="T372" s="67"/>
      <c r="U372" s="86"/>
      <c r="V372" s="2"/>
      <c r="W372" s="2"/>
      <c r="X372" s="2"/>
      <c r="Y372" s="2" t="s">
        <v>685</v>
      </c>
      <c r="AA372" s="2"/>
      <c r="AB372" s="2"/>
      <c r="AC372" s="2"/>
      <c r="AD372" s="90"/>
      <c r="AE372" s="2"/>
      <c r="AF372" s="2" t="s">
        <v>3051</v>
      </c>
      <c r="AG372" s="3" t="s">
        <v>4382</v>
      </c>
      <c r="AH372" s="3" t="s">
        <v>4383</v>
      </c>
      <c r="AI372" s="2"/>
      <c r="AJ372" s="2" t="s">
        <v>4384</v>
      </c>
      <c r="AK372" s="2"/>
      <c r="AL372" s="2" t="s">
        <v>3053</v>
      </c>
      <c r="AM372" s="68"/>
      <c r="AN372" s="90"/>
      <c r="AO372" s="2"/>
      <c r="AP372" s="109"/>
      <c r="AQ372" s="2"/>
      <c r="AR372" s="2"/>
      <c r="AS372" s="2"/>
      <c r="AT372" s="2"/>
      <c r="AU372" s="90"/>
      <c r="AV372" s="2"/>
      <c r="AW372" s="2"/>
      <c r="AY372" s="2"/>
      <c r="AZ372" s="2"/>
      <c r="BA372" s="2"/>
      <c r="BB372" s="2"/>
      <c r="BC372" s="2"/>
      <c r="BD372" s="2"/>
      <c r="BE372" s="2"/>
      <c r="BF372" s="2"/>
      <c r="BG372" s="2"/>
      <c r="BH372" s="2"/>
      <c r="BI372" s="68"/>
      <c r="BJ372" s="68"/>
      <c r="BK372" s="68"/>
      <c r="BL372" s="98"/>
      <c r="BM372" s="2"/>
      <c r="BN372" s="2"/>
      <c r="BO372" s="90"/>
      <c r="BP372" s="2"/>
      <c r="CF372" s="2"/>
      <c r="CS372" s="146"/>
      <c r="CU372" s="132" t="s">
        <v>3028</v>
      </c>
      <c r="CW372" s="2" t="s">
        <v>3054</v>
      </c>
      <c r="CX372" s="38"/>
    </row>
    <row r="373" spans="1:102" x14ac:dyDescent="0.3">
      <c r="A373" s="4">
        <v>422</v>
      </c>
      <c r="B373" s="217" t="s">
        <v>4385</v>
      </c>
      <c r="C373" s="56"/>
      <c r="D373" s="4"/>
      <c r="E373" s="4"/>
      <c r="F373" s="46"/>
      <c r="G373" s="64"/>
      <c r="H373" s="64"/>
      <c r="I373" s="64"/>
      <c r="J373" s="64"/>
      <c r="K373" s="64"/>
      <c r="L373" s="64"/>
      <c r="M373" s="64"/>
      <c r="N373" s="64"/>
      <c r="O373" s="64"/>
      <c r="Q373" s="64"/>
      <c r="R373" s="64"/>
      <c r="S373" s="64"/>
      <c r="T373" s="64"/>
      <c r="U373" s="87"/>
      <c r="V373" s="4"/>
      <c r="W373" s="4"/>
      <c r="X373" s="4"/>
      <c r="Y373" s="4" t="s">
        <v>4386</v>
      </c>
      <c r="AA373" s="4"/>
      <c r="AB373" s="4"/>
      <c r="AC373" s="4"/>
      <c r="AD373" s="91"/>
      <c r="AE373" s="4"/>
      <c r="AF373" s="4" t="s">
        <v>3051</v>
      </c>
      <c r="AG373" s="5" t="s">
        <v>4387</v>
      </c>
      <c r="AH373" s="5" t="s">
        <v>4388</v>
      </c>
      <c r="AI373" s="4"/>
      <c r="AJ373" s="4" t="s">
        <v>4389</v>
      </c>
      <c r="AK373" s="4"/>
      <c r="AL373" s="4" t="s">
        <v>3053</v>
      </c>
      <c r="AM373" s="69"/>
      <c r="AN373" s="91"/>
      <c r="AO373" s="4"/>
      <c r="AP373" s="217"/>
      <c r="AQ373" s="4"/>
      <c r="AR373" s="4"/>
      <c r="AS373" s="4"/>
      <c r="AT373" s="4"/>
      <c r="AU373" s="91"/>
      <c r="AV373" s="4"/>
      <c r="AW373" s="4"/>
      <c r="AY373" s="4"/>
      <c r="AZ373" s="4"/>
      <c r="BA373" s="4"/>
      <c r="BB373" s="4"/>
      <c r="BC373" s="4"/>
      <c r="BD373" s="4"/>
      <c r="BE373" s="4"/>
      <c r="BF373" s="4"/>
      <c r="BG373" s="4"/>
      <c r="BH373" s="4"/>
      <c r="BI373" s="69"/>
      <c r="BJ373" s="69"/>
      <c r="BK373" s="69"/>
      <c r="BL373" s="97"/>
      <c r="BM373" s="4"/>
      <c r="BN373" s="4"/>
      <c r="BO373" s="91"/>
      <c r="BP373" s="4"/>
      <c r="CF373" s="4"/>
      <c r="CS373" s="147"/>
      <c r="CU373" s="216" t="s">
        <v>3187</v>
      </c>
      <c r="CW373" s="4" t="s">
        <v>3054</v>
      </c>
      <c r="CX373" s="39"/>
    </row>
    <row r="374" spans="1:102" x14ac:dyDescent="0.3">
      <c r="A374" s="2">
        <v>423</v>
      </c>
      <c r="B374" s="109" t="s">
        <v>4390</v>
      </c>
      <c r="C374" s="55"/>
      <c r="D374" s="2"/>
      <c r="E374" s="2"/>
      <c r="F374" s="47"/>
      <c r="G374" s="67"/>
      <c r="H374" s="67"/>
      <c r="I374" s="67"/>
      <c r="J374" s="67"/>
      <c r="K374" s="67"/>
      <c r="L374" s="67"/>
      <c r="M374" s="67"/>
      <c r="N374" s="67"/>
      <c r="O374" s="67"/>
      <c r="Q374" s="67"/>
      <c r="R374" s="67"/>
      <c r="S374" s="67"/>
      <c r="T374" s="67"/>
      <c r="U374" s="86"/>
      <c r="V374" s="2"/>
      <c r="W374" s="2"/>
      <c r="X374" s="2"/>
      <c r="Y374" s="2" t="s">
        <v>4391</v>
      </c>
      <c r="AA374" s="2"/>
      <c r="AB374" s="2"/>
      <c r="AC374" s="2"/>
      <c r="AD374" s="90"/>
      <c r="AE374" s="2"/>
      <c r="AF374" s="2" t="s">
        <v>3051</v>
      </c>
      <c r="AG374" s="3" t="s">
        <v>4392</v>
      </c>
      <c r="AH374" s="3" t="s">
        <v>4393</v>
      </c>
      <c r="AI374" s="2"/>
      <c r="AJ374" s="2" t="s">
        <v>4394</v>
      </c>
      <c r="AK374" s="2"/>
      <c r="AL374" s="2" t="s">
        <v>3053</v>
      </c>
      <c r="AM374" s="68"/>
      <c r="AN374" s="90"/>
      <c r="AO374" s="2"/>
      <c r="AP374" s="109"/>
      <c r="AQ374" s="2"/>
      <c r="AR374" s="2"/>
      <c r="AS374" s="2"/>
      <c r="AT374" s="2"/>
      <c r="AU374" s="90"/>
      <c r="AV374" s="2"/>
      <c r="AW374" s="2"/>
      <c r="AY374" s="2"/>
      <c r="AZ374" s="2"/>
      <c r="BA374" s="2"/>
      <c r="BB374" s="2"/>
      <c r="BC374" s="2"/>
      <c r="BD374" s="2"/>
      <c r="BE374" s="2"/>
      <c r="BF374" s="2"/>
      <c r="BG374" s="2"/>
      <c r="BH374" s="2"/>
      <c r="BI374" s="68"/>
      <c r="BJ374" s="68"/>
      <c r="BK374" s="68"/>
      <c r="BL374" s="98"/>
      <c r="BM374" s="2"/>
      <c r="BN374" s="2"/>
      <c r="BO374" s="90"/>
      <c r="BP374" s="2"/>
      <c r="CF374" s="2"/>
      <c r="CS374" s="146"/>
      <c r="CU374" s="132" t="s">
        <v>3028</v>
      </c>
      <c r="CW374" s="2" t="s">
        <v>3054</v>
      </c>
      <c r="CX374" s="38"/>
    </row>
    <row r="375" spans="1:102" x14ac:dyDescent="0.3">
      <c r="A375" s="4">
        <v>424</v>
      </c>
      <c r="B375" s="217" t="s">
        <v>4395</v>
      </c>
      <c r="C375" s="56"/>
      <c r="D375" s="4"/>
      <c r="E375" s="4"/>
      <c r="F375" s="46"/>
      <c r="G375" s="64"/>
      <c r="H375" s="64"/>
      <c r="I375" s="64"/>
      <c r="J375" s="64"/>
      <c r="K375" s="64"/>
      <c r="L375" s="64"/>
      <c r="M375" s="64"/>
      <c r="N375" s="64"/>
      <c r="O375" s="64"/>
      <c r="Q375" s="64"/>
      <c r="R375" s="64"/>
      <c r="S375" s="64"/>
      <c r="T375" s="64"/>
      <c r="U375" s="87"/>
      <c r="V375" s="4"/>
      <c r="W375" s="4"/>
      <c r="X375" s="4"/>
      <c r="Y375" s="4" t="s">
        <v>4396</v>
      </c>
      <c r="AA375" s="4"/>
      <c r="AB375" s="4"/>
      <c r="AC375" s="4"/>
      <c r="AD375" s="91"/>
      <c r="AE375" s="4"/>
      <c r="AF375" s="4" t="s">
        <v>3051</v>
      </c>
      <c r="AG375" s="5" t="s">
        <v>4397</v>
      </c>
      <c r="AH375" s="5" t="s">
        <v>4398</v>
      </c>
      <c r="AI375" s="4"/>
      <c r="AJ375" s="4" t="s">
        <v>4399</v>
      </c>
      <c r="AK375" s="4"/>
      <c r="AL375" s="4" t="s">
        <v>3053</v>
      </c>
      <c r="AM375" s="69"/>
      <c r="AN375" s="91"/>
      <c r="AO375" s="4"/>
      <c r="AP375" s="217"/>
      <c r="AQ375" s="4"/>
      <c r="AR375" s="4"/>
      <c r="AS375" s="4"/>
      <c r="AT375" s="4"/>
      <c r="AU375" s="91"/>
      <c r="AV375" s="4"/>
      <c r="AW375" s="4"/>
      <c r="AY375" s="4"/>
      <c r="AZ375" s="4"/>
      <c r="BA375" s="4"/>
      <c r="BB375" s="4"/>
      <c r="BC375" s="4"/>
      <c r="BD375" s="4"/>
      <c r="BE375" s="4"/>
      <c r="BF375" s="4"/>
      <c r="BG375" s="4"/>
      <c r="BH375" s="4"/>
      <c r="BI375" s="69"/>
      <c r="BJ375" s="69"/>
      <c r="BK375" s="69"/>
      <c r="BL375" s="97"/>
      <c r="BM375" s="4"/>
      <c r="BN375" s="4"/>
      <c r="BO375" s="91"/>
      <c r="BP375" s="4"/>
      <c r="CF375" s="4"/>
      <c r="CS375" s="147"/>
      <c r="CU375" s="216" t="s">
        <v>3028</v>
      </c>
      <c r="CW375" s="4" t="s">
        <v>3194</v>
      </c>
      <c r="CX375" s="39"/>
    </row>
    <row r="376" spans="1:102" x14ac:dyDescent="0.3">
      <c r="A376" s="2">
        <v>425</v>
      </c>
      <c r="B376" s="109" t="s">
        <v>4400</v>
      </c>
      <c r="C376" s="55"/>
      <c r="D376" s="2"/>
      <c r="E376" s="2"/>
      <c r="F376" s="47"/>
      <c r="G376" s="67"/>
      <c r="H376" s="67"/>
      <c r="I376" s="67"/>
      <c r="J376" s="67"/>
      <c r="K376" s="67"/>
      <c r="L376" s="67"/>
      <c r="M376" s="67"/>
      <c r="N376" s="67"/>
      <c r="O376" s="67"/>
      <c r="Q376" s="67"/>
      <c r="R376" s="67"/>
      <c r="S376" s="67"/>
      <c r="T376" s="67"/>
      <c r="U376" s="86"/>
      <c r="V376" s="2"/>
      <c r="W376" s="2"/>
      <c r="X376" s="2"/>
      <c r="Y376" s="2" t="s">
        <v>4386</v>
      </c>
      <c r="AA376" s="2"/>
      <c r="AB376" s="2"/>
      <c r="AC376" s="2"/>
      <c r="AD376" s="90"/>
      <c r="AE376" s="2"/>
      <c r="AF376" s="2" t="s">
        <v>3051</v>
      </c>
      <c r="AG376" s="3" t="s">
        <v>4401</v>
      </c>
      <c r="AH376" s="3" t="s">
        <v>4402</v>
      </c>
      <c r="AI376" s="2"/>
      <c r="AJ376" s="2" t="s">
        <v>4403</v>
      </c>
      <c r="AK376" s="2"/>
      <c r="AL376" s="2" t="s">
        <v>3053</v>
      </c>
      <c r="AM376" s="68"/>
      <c r="AN376" s="90"/>
      <c r="AO376" s="2"/>
      <c r="AP376" s="109"/>
      <c r="AQ376" s="2"/>
      <c r="AR376" s="2"/>
      <c r="AS376" s="2"/>
      <c r="AT376" s="2"/>
      <c r="AU376" s="90"/>
      <c r="AV376" s="2"/>
      <c r="AW376" s="2"/>
      <c r="AY376" s="2"/>
      <c r="AZ376" s="2"/>
      <c r="BA376" s="2"/>
      <c r="BB376" s="2"/>
      <c r="BC376" s="2"/>
      <c r="BD376" s="2"/>
      <c r="BE376" s="2"/>
      <c r="BF376" s="2"/>
      <c r="BG376" s="2"/>
      <c r="BH376" s="2"/>
      <c r="BI376" s="68"/>
      <c r="BJ376" s="68"/>
      <c r="BK376" s="68"/>
      <c r="BL376" s="98"/>
      <c r="BM376" s="2"/>
      <c r="BN376" s="2"/>
      <c r="BO376" s="90"/>
      <c r="BP376" s="2"/>
      <c r="CF376" s="2"/>
      <c r="CS376" s="146"/>
      <c r="CU376" s="132" t="s">
        <v>3028</v>
      </c>
      <c r="CW376" s="2" t="s">
        <v>3149</v>
      </c>
      <c r="CX376" s="38"/>
    </row>
    <row r="377" spans="1:102" x14ac:dyDescent="0.3">
      <c r="A377" s="4">
        <v>427</v>
      </c>
      <c r="B377" s="217" t="s">
        <v>4404</v>
      </c>
      <c r="C377" s="56"/>
      <c r="D377" s="4"/>
      <c r="E377" s="4"/>
      <c r="F377" s="46"/>
      <c r="G377" s="64"/>
      <c r="H377" s="64"/>
      <c r="I377" s="64"/>
      <c r="J377" s="64"/>
      <c r="K377" s="64"/>
      <c r="L377" s="64"/>
      <c r="M377" s="64"/>
      <c r="N377" s="64"/>
      <c r="O377" s="64"/>
      <c r="Q377" s="64"/>
      <c r="R377" s="64"/>
      <c r="S377" s="64"/>
      <c r="T377" s="64"/>
      <c r="U377" s="87"/>
      <c r="V377" s="4"/>
      <c r="W377" s="4"/>
      <c r="X377" s="4"/>
      <c r="Y377" s="4" t="s">
        <v>4405</v>
      </c>
      <c r="AA377" s="4"/>
      <c r="AB377" s="4"/>
      <c r="AC377" s="4"/>
      <c r="AD377" s="91"/>
      <c r="AE377" s="4"/>
      <c r="AF377" s="4" t="s">
        <v>4406</v>
      </c>
      <c r="AG377" s="5" t="s">
        <v>4401</v>
      </c>
      <c r="AH377" s="5" t="s">
        <v>4407</v>
      </c>
      <c r="AI377" s="4"/>
      <c r="AJ377" s="4" t="s">
        <v>4408</v>
      </c>
      <c r="AK377" s="4"/>
      <c r="AL377" s="4" t="s">
        <v>3053</v>
      </c>
      <c r="AM377" s="69"/>
      <c r="AN377" s="91"/>
      <c r="AO377" s="4"/>
      <c r="AP377" s="217"/>
      <c r="AQ377" s="4"/>
      <c r="AR377" s="4"/>
      <c r="AS377" s="4"/>
      <c r="AT377" s="4"/>
      <c r="AU377" s="91"/>
      <c r="AV377" s="4"/>
      <c r="AW377" s="4"/>
      <c r="AY377" s="4"/>
      <c r="AZ377" s="4"/>
      <c r="BA377" s="4"/>
      <c r="BB377" s="4"/>
      <c r="BC377" s="4" t="s">
        <v>123</v>
      </c>
      <c r="BD377" s="4"/>
      <c r="BE377" s="4"/>
      <c r="BF377" s="4"/>
      <c r="BG377" s="4"/>
      <c r="BH377" s="4"/>
      <c r="BI377" s="69">
        <v>45884</v>
      </c>
      <c r="BJ377" s="69"/>
      <c r="BK377" s="69">
        <v>46615</v>
      </c>
      <c r="BL377" s="97"/>
      <c r="BM377" s="4"/>
      <c r="BN377" s="4"/>
      <c r="BO377" s="91"/>
      <c r="BP377" s="4"/>
      <c r="CF377" s="4"/>
      <c r="CS377" s="147"/>
      <c r="CU377" s="226" t="s">
        <v>3028</v>
      </c>
      <c r="CW377" s="4" t="s">
        <v>3054</v>
      </c>
      <c r="CX377" s="39"/>
    </row>
    <row r="378" spans="1:102" x14ac:dyDescent="0.3">
      <c r="A378" s="2">
        <v>428</v>
      </c>
      <c r="B378" s="109" t="s">
        <v>4409</v>
      </c>
      <c r="C378" s="55"/>
      <c r="D378" s="2"/>
      <c r="E378" s="2"/>
      <c r="F378" s="47"/>
      <c r="G378" s="67"/>
      <c r="H378" s="67"/>
      <c r="I378" s="67"/>
      <c r="J378" s="67"/>
      <c r="K378" s="67"/>
      <c r="L378" s="67"/>
      <c r="M378" s="67"/>
      <c r="N378" s="67"/>
      <c r="O378" s="67"/>
      <c r="Q378" s="67"/>
      <c r="R378" s="67"/>
      <c r="S378" s="67"/>
      <c r="T378" s="67"/>
      <c r="U378" s="86"/>
      <c r="V378" s="2"/>
      <c r="W378" s="2"/>
      <c r="X378" s="2"/>
      <c r="Y378" s="2" t="s">
        <v>429</v>
      </c>
      <c r="AA378" s="2"/>
      <c r="AB378" s="2"/>
      <c r="AC378" s="2"/>
      <c r="AD378" s="90"/>
      <c r="AE378" s="2"/>
      <c r="AF378" s="2" t="s">
        <v>3590</v>
      </c>
      <c r="AG378" s="3" t="s">
        <v>4401</v>
      </c>
      <c r="AH378" s="3" t="s">
        <v>4410</v>
      </c>
      <c r="AI378" s="2"/>
      <c r="AJ378" s="2" t="s">
        <v>4411</v>
      </c>
      <c r="AK378" s="2"/>
      <c r="AL378" s="2" t="s">
        <v>3053</v>
      </c>
      <c r="AM378" s="68"/>
      <c r="AN378" s="90"/>
      <c r="AO378" s="2"/>
      <c r="AP378" s="109"/>
      <c r="AQ378" s="2"/>
      <c r="AR378" s="2"/>
      <c r="AS378" s="2"/>
      <c r="AT378" s="2"/>
      <c r="AU378" s="90"/>
      <c r="AV378" s="2"/>
      <c r="AW378" s="2"/>
      <c r="AY378" s="2"/>
      <c r="AZ378" s="2"/>
      <c r="BA378" s="2"/>
      <c r="BB378" s="2"/>
      <c r="BC378" s="2" t="s">
        <v>135</v>
      </c>
      <c r="BD378" s="2">
        <v>44665</v>
      </c>
      <c r="BE378" s="2" t="s">
        <v>3592</v>
      </c>
      <c r="BF378" s="2"/>
      <c r="BG378" s="2"/>
      <c r="BH378" s="2"/>
      <c r="BI378" s="68">
        <v>44760</v>
      </c>
      <c r="BJ378" s="68"/>
      <c r="BK378" s="68">
        <v>46379</v>
      </c>
      <c r="BL378" s="98"/>
      <c r="BM378" s="2"/>
      <c r="BN378" s="2"/>
      <c r="BO378" s="90"/>
      <c r="BP378" s="2"/>
      <c r="CF378" s="2"/>
      <c r="CS378" s="146"/>
      <c r="CU378" s="132" t="s">
        <v>3028</v>
      </c>
      <c r="CW378" s="2" t="s">
        <v>4412</v>
      </c>
      <c r="CX378" s="38"/>
    </row>
    <row r="379" spans="1:102" x14ac:dyDescent="0.3">
      <c r="A379" s="4">
        <v>431</v>
      </c>
      <c r="B379" s="217" t="s">
        <v>4413</v>
      </c>
      <c r="C379" s="56"/>
      <c r="D379" s="4"/>
      <c r="E379" s="4"/>
      <c r="F379" s="46"/>
      <c r="G379" s="64"/>
      <c r="H379" s="64"/>
      <c r="I379" s="64"/>
      <c r="J379" s="64"/>
      <c r="K379" s="64"/>
      <c r="L379" s="64"/>
      <c r="M379" s="64"/>
      <c r="N379" s="64"/>
      <c r="O379" s="64"/>
      <c r="Q379" s="64"/>
      <c r="R379" s="64"/>
      <c r="S379" s="64"/>
      <c r="T379" s="64"/>
      <c r="U379" s="87"/>
      <c r="V379" s="4"/>
      <c r="W379" s="4"/>
      <c r="X379" s="4"/>
      <c r="Y379" s="4" t="s">
        <v>2210</v>
      </c>
      <c r="AA379" s="4"/>
      <c r="AB379" s="4"/>
      <c r="AC379" s="4"/>
      <c r="AD379" s="91"/>
      <c r="AE379" s="4"/>
      <c r="AF379" s="4" t="s">
        <v>3594</v>
      </c>
      <c r="AG379" s="5" t="s">
        <v>4401</v>
      </c>
      <c r="AH379" s="5" t="s">
        <v>4414</v>
      </c>
      <c r="AI379" s="4"/>
      <c r="AJ379" s="4" t="s">
        <v>4415</v>
      </c>
      <c r="AK379" s="4"/>
      <c r="AL379" s="4" t="s">
        <v>3053</v>
      </c>
      <c r="AM379" s="69"/>
      <c r="AN379" s="91"/>
      <c r="AO379" s="4"/>
      <c r="AP379" s="217"/>
      <c r="AQ379" s="4"/>
      <c r="AR379" s="4"/>
      <c r="AS379" s="4"/>
      <c r="AT379" s="4"/>
      <c r="AU379" s="91"/>
      <c r="AV379" s="4"/>
      <c r="AW379" s="4"/>
      <c r="AY379" s="4"/>
      <c r="AZ379" s="4"/>
      <c r="BA379" s="4"/>
      <c r="BB379" s="4"/>
      <c r="BC379" s="4" t="s">
        <v>135</v>
      </c>
      <c r="BD379" s="4"/>
      <c r="BE379" s="4"/>
      <c r="BF379" s="4"/>
      <c r="BG379" s="4"/>
      <c r="BH379" s="4"/>
      <c r="BI379" s="69">
        <v>45932</v>
      </c>
      <c r="BJ379" s="69"/>
      <c r="BK379" s="69">
        <v>46896</v>
      </c>
      <c r="BL379" s="97"/>
      <c r="BM379" s="4"/>
      <c r="BN379" s="4"/>
      <c r="BO379" s="91"/>
      <c r="BP379" s="4"/>
      <c r="CF379" s="4"/>
      <c r="CS379" s="147"/>
      <c r="CU379" s="226" t="s">
        <v>3028</v>
      </c>
      <c r="CW379" s="4" t="s">
        <v>4416</v>
      </c>
      <c r="CX379" s="39"/>
    </row>
    <row r="380" spans="1:102" x14ac:dyDescent="0.3">
      <c r="A380" s="2">
        <v>433</v>
      </c>
      <c r="B380" s="109" t="s">
        <v>155</v>
      </c>
      <c r="C380" s="55"/>
      <c r="D380" s="2"/>
      <c r="E380" s="2"/>
      <c r="F380" s="47"/>
      <c r="G380" s="67"/>
      <c r="H380" s="67"/>
      <c r="I380" s="67"/>
      <c r="J380" s="67"/>
      <c r="K380" s="67"/>
      <c r="L380" s="67"/>
      <c r="M380" s="67"/>
      <c r="N380" s="67"/>
      <c r="O380" s="67"/>
      <c r="Q380" s="67"/>
      <c r="R380" s="67"/>
      <c r="S380" s="67"/>
      <c r="T380" s="67"/>
      <c r="U380" s="86"/>
      <c r="V380" s="2"/>
      <c r="W380" s="2"/>
      <c r="X380" s="2"/>
      <c r="Y380" s="2" t="s">
        <v>1032</v>
      </c>
      <c r="AA380" s="2"/>
      <c r="AB380" s="2"/>
      <c r="AC380" s="2"/>
      <c r="AD380" s="90"/>
      <c r="AE380" s="2"/>
      <c r="AF380" s="2" t="s">
        <v>3051</v>
      </c>
      <c r="AG380" s="3" t="s">
        <v>4401</v>
      </c>
      <c r="AH380" s="3" t="s">
        <v>4407</v>
      </c>
      <c r="AI380" s="2"/>
      <c r="AJ380" s="2" t="s">
        <v>4417</v>
      </c>
      <c r="AK380" s="2"/>
      <c r="AL380" s="2" t="s">
        <v>3053</v>
      </c>
      <c r="AM380" s="68"/>
      <c r="AN380" s="90"/>
      <c r="AO380" s="2"/>
      <c r="AP380" s="109"/>
      <c r="AQ380" s="2"/>
      <c r="AR380" s="2"/>
      <c r="AS380" s="2"/>
      <c r="AT380" s="2"/>
      <c r="AU380" s="90"/>
      <c r="AV380" s="2"/>
      <c r="AW380" s="2"/>
      <c r="AY380" s="2"/>
      <c r="AZ380" s="2"/>
      <c r="BA380" s="2"/>
      <c r="BB380" s="2"/>
      <c r="BC380" s="2"/>
      <c r="BD380" s="2"/>
      <c r="BE380" s="2"/>
      <c r="BF380" s="2"/>
      <c r="BG380" s="2"/>
      <c r="BH380" s="2"/>
      <c r="BI380" s="68"/>
      <c r="BJ380" s="68"/>
      <c r="BK380" s="68"/>
      <c r="BL380" s="98"/>
      <c r="BM380" s="2"/>
      <c r="BN380" s="2"/>
      <c r="BO380" s="90"/>
      <c r="BP380" s="2"/>
      <c r="CF380" s="2"/>
      <c r="CS380" s="146"/>
      <c r="CU380" s="226" t="s">
        <v>3187</v>
      </c>
      <c r="CW380" s="2" t="s">
        <v>3054</v>
      </c>
      <c r="CX380" s="38"/>
    </row>
    <row r="381" spans="1:102" x14ac:dyDescent="0.3">
      <c r="A381" s="4">
        <v>434</v>
      </c>
      <c r="B381" s="217" t="s">
        <v>155</v>
      </c>
      <c r="C381" s="56"/>
      <c r="D381" s="4"/>
      <c r="E381" s="4"/>
      <c r="F381" s="46"/>
      <c r="G381" s="64"/>
      <c r="H381" s="64"/>
      <c r="I381" s="64"/>
      <c r="J381" s="64"/>
      <c r="K381" s="64"/>
      <c r="L381" s="64"/>
      <c r="M381" s="64"/>
      <c r="N381" s="64"/>
      <c r="O381" s="64"/>
      <c r="Q381" s="64"/>
      <c r="R381" s="64"/>
      <c r="S381" s="64"/>
      <c r="T381" s="64"/>
      <c r="U381" s="87"/>
      <c r="V381" s="4"/>
      <c r="W381" s="4"/>
      <c r="X381" s="4"/>
      <c r="Y381" s="4" t="s">
        <v>1032</v>
      </c>
      <c r="AA381" s="4"/>
      <c r="AB381" s="4"/>
      <c r="AC381" s="4"/>
      <c r="AD381" s="91"/>
      <c r="AE381" s="4"/>
      <c r="AF381" s="4" t="s">
        <v>3051</v>
      </c>
      <c r="AG381" s="5" t="s">
        <v>4401</v>
      </c>
      <c r="AH381" s="5" t="s">
        <v>4407</v>
      </c>
      <c r="AI381" s="4"/>
      <c r="AJ381" s="4" t="s">
        <v>4418</v>
      </c>
      <c r="AK381" s="4"/>
      <c r="AL381" s="4" t="s">
        <v>3053</v>
      </c>
      <c r="AM381" s="69"/>
      <c r="AN381" s="91"/>
      <c r="AO381" s="4"/>
      <c r="AP381" s="217"/>
      <c r="AQ381" s="4"/>
      <c r="AR381" s="4"/>
      <c r="AS381" s="4"/>
      <c r="AT381" s="4"/>
      <c r="AU381" s="91"/>
      <c r="AV381" s="4"/>
      <c r="AW381" s="4"/>
      <c r="AY381" s="4"/>
      <c r="AZ381" s="4"/>
      <c r="BA381" s="4"/>
      <c r="BB381" s="4"/>
      <c r="BC381" s="4"/>
      <c r="BD381" s="4"/>
      <c r="BE381" s="4"/>
      <c r="BF381" s="4"/>
      <c r="BG381" s="4"/>
      <c r="BH381" s="4"/>
      <c r="BI381" s="69"/>
      <c r="BJ381" s="69"/>
      <c r="BK381" s="69"/>
      <c r="BL381" s="97"/>
      <c r="BM381" s="4"/>
      <c r="BN381" s="4"/>
      <c r="BO381" s="91"/>
      <c r="BP381" s="4"/>
      <c r="CF381" s="4"/>
      <c r="CS381" s="147"/>
      <c r="CU381" s="226" t="s">
        <v>3187</v>
      </c>
      <c r="CW381" s="4" t="s">
        <v>3054</v>
      </c>
      <c r="CX381" s="39"/>
    </row>
    <row r="382" spans="1:102" x14ac:dyDescent="0.3">
      <c r="A382" s="2">
        <v>435</v>
      </c>
      <c r="B382" s="43" t="s">
        <v>2520</v>
      </c>
      <c r="C382" s="2" t="s">
        <v>109</v>
      </c>
      <c r="D382" s="7" t="s">
        <v>109</v>
      </c>
      <c r="E382" s="7" t="s">
        <v>109</v>
      </c>
      <c r="F382" s="101" t="s">
        <v>4419</v>
      </c>
      <c r="G382" s="77" t="s">
        <v>245</v>
      </c>
      <c r="H382" s="77" t="s">
        <v>146</v>
      </c>
      <c r="I382" s="77" t="s">
        <v>109</v>
      </c>
      <c r="J382" s="77" t="s">
        <v>109</v>
      </c>
      <c r="K382" s="77" t="s">
        <v>250</v>
      </c>
      <c r="L382" s="77" t="s">
        <v>251</v>
      </c>
      <c r="M382" s="77" t="s">
        <v>109</v>
      </c>
      <c r="N382" s="77" t="s">
        <v>109</v>
      </c>
      <c r="O382" s="2" t="s">
        <v>109</v>
      </c>
      <c r="Q382" s="7">
        <v>60</v>
      </c>
      <c r="R382" s="77" t="s">
        <v>109</v>
      </c>
      <c r="S382" s="77" t="s">
        <v>109</v>
      </c>
      <c r="T382" s="77" t="s">
        <v>109</v>
      </c>
      <c r="U382" s="7" t="s">
        <v>116</v>
      </c>
      <c r="V382" s="7" t="s">
        <v>4420</v>
      </c>
      <c r="W382" s="2" t="b">
        <v>0</v>
      </c>
      <c r="X382" s="7" t="s">
        <v>109</v>
      </c>
      <c r="Y382" s="7" t="s">
        <v>2519</v>
      </c>
      <c r="AA382" s="7" t="s">
        <v>109</v>
      </c>
      <c r="AB382" s="7" t="s">
        <v>109</v>
      </c>
      <c r="AC382" s="7" t="s">
        <v>109</v>
      </c>
      <c r="AD382" s="7" t="s">
        <v>109</v>
      </c>
      <c r="AE382" s="7" t="s">
        <v>109</v>
      </c>
      <c r="AF382" s="2" t="s">
        <v>3030</v>
      </c>
      <c r="AG382" s="3" t="s">
        <v>4421</v>
      </c>
      <c r="AH382" s="3" t="s">
        <v>4422</v>
      </c>
      <c r="AI382" s="2">
        <v>1</v>
      </c>
      <c r="AJ382" s="2" t="s">
        <v>4423</v>
      </c>
      <c r="AK382" s="2" t="s">
        <v>121</v>
      </c>
      <c r="AL382" s="7" t="s">
        <v>3027</v>
      </c>
      <c r="AM382" s="68">
        <v>43354</v>
      </c>
      <c r="AN382" s="2" t="s">
        <v>122</v>
      </c>
      <c r="AO382" s="7" t="s">
        <v>109</v>
      </c>
      <c r="AP382" s="109" t="s">
        <v>109</v>
      </c>
      <c r="AQ382" s="7" t="b">
        <v>0</v>
      </c>
      <c r="AR382" s="7" t="s">
        <v>109</v>
      </c>
      <c r="AS382" s="7" t="s">
        <v>109</v>
      </c>
      <c r="AT382" s="7" t="s">
        <v>109</v>
      </c>
      <c r="AU382" s="7" t="b">
        <v>0</v>
      </c>
      <c r="AV382" s="7" t="s">
        <v>109</v>
      </c>
      <c r="AW382" s="7" t="s">
        <v>109</v>
      </c>
      <c r="AY382" s="7" t="s">
        <v>109</v>
      </c>
      <c r="AZ382" s="7" t="s">
        <v>109</v>
      </c>
      <c r="BA382" s="7" t="s">
        <v>109</v>
      </c>
      <c r="BB382" s="7" t="s">
        <v>109</v>
      </c>
      <c r="BC382" s="7" t="s">
        <v>2524</v>
      </c>
      <c r="BD382" s="128">
        <v>42852</v>
      </c>
      <c r="BE382" s="7" t="s">
        <v>494</v>
      </c>
      <c r="BF382" s="7">
        <v>2018</v>
      </c>
      <c r="BG382" s="2" t="s">
        <v>126</v>
      </c>
      <c r="BH382" s="2" t="s">
        <v>109</v>
      </c>
      <c r="BI382" s="76" t="s">
        <v>109</v>
      </c>
      <c r="BJ382" s="68">
        <v>44227</v>
      </c>
      <c r="BK382" s="76" t="s">
        <v>109</v>
      </c>
      <c r="BL382" s="7" t="s">
        <v>109</v>
      </c>
      <c r="BM382" s="7" t="s">
        <v>109</v>
      </c>
      <c r="BN382" s="98" t="b">
        <v>0</v>
      </c>
      <c r="BO382" s="85" t="s">
        <v>118</v>
      </c>
      <c r="BP382" s="7" t="s">
        <v>128</v>
      </c>
      <c r="CF382" s="7" t="s">
        <v>157</v>
      </c>
      <c r="CS382" s="145"/>
      <c r="CU382" s="132" t="s">
        <v>4286</v>
      </c>
      <c r="CW382" s="2" t="s">
        <v>3029</v>
      </c>
      <c r="CX382" s="38"/>
    </row>
    <row r="383" spans="1:102" x14ac:dyDescent="0.3">
      <c r="A383" s="8">
        <v>444</v>
      </c>
      <c r="B383" s="227" t="s">
        <v>4424</v>
      </c>
      <c r="C383" s="62"/>
      <c r="D383" s="8"/>
      <c r="E383" s="8"/>
      <c r="F383" s="81"/>
      <c r="G383" s="82"/>
      <c r="H383" s="82"/>
      <c r="I383" s="82"/>
      <c r="J383" s="82"/>
      <c r="K383" s="82"/>
      <c r="L383" s="82"/>
      <c r="M383" s="82"/>
      <c r="N383" s="82"/>
      <c r="O383" s="82"/>
      <c r="Q383" s="82"/>
      <c r="R383" s="82"/>
      <c r="S383" s="82"/>
      <c r="T383" s="82"/>
      <c r="U383" s="89"/>
      <c r="V383" s="8"/>
      <c r="W383" s="8"/>
      <c r="X383" s="8"/>
      <c r="Y383" s="8" t="s">
        <v>1704</v>
      </c>
      <c r="AA383" s="8"/>
      <c r="AB383" s="8"/>
      <c r="AC383" s="8"/>
      <c r="AD383" s="96"/>
      <c r="AE383" s="8"/>
      <c r="AF383" s="8" t="s">
        <v>3051</v>
      </c>
      <c r="AG383" s="9" t="s">
        <v>4401</v>
      </c>
      <c r="AH383" s="9" t="s">
        <v>4425</v>
      </c>
      <c r="AI383" s="8"/>
      <c r="AJ383" s="8" t="s">
        <v>4426</v>
      </c>
      <c r="AK383" s="8"/>
      <c r="AL383" s="8" t="s">
        <v>3053</v>
      </c>
      <c r="AM383" s="113"/>
      <c r="AN383" s="96"/>
      <c r="AO383" s="8"/>
      <c r="AP383" s="8"/>
      <c r="AQ383" s="8"/>
      <c r="AR383" s="8"/>
      <c r="AS383" s="8"/>
      <c r="AT383" s="8"/>
      <c r="AU383" s="96"/>
      <c r="AV383" s="8"/>
      <c r="AW383" s="8"/>
      <c r="AY383" s="8"/>
      <c r="AZ383" s="8"/>
      <c r="BA383" s="8"/>
      <c r="BB383" s="8"/>
      <c r="BC383" s="8"/>
      <c r="BD383" s="8"/>
      <c r="BE383" s="8"/>
      <c r="BF383" s="8"/>
      <c r="BG383" s="8"/>
      <c r="BH383" s="8"/>
      <c r="BI383" s="113"/>
      <c r="BJ383" s="113"/>
      <c r="BK383" s="113"/>
      <c r="BL383" s="104"/>
      <c r="BM383" s="8"/>
      <c r="BN383" s="8"/>
      <c r="BO383" s="96"/>
      <c r="BP383" s="8"/>
      <c r="CF383" s="8"/>
      <c r="CS383" s="154"/>
      <c r="CU383" s="228" t="s">
        <v>3187</v>
      </c>
      <c r="CW383" s="8" t="s">
        <v>3054</v>
      </c>
      <c r="CX383" s="42"/>
    </row>
  </sheetData>
  <conditionalFormatting sqref="X235">
    <cfRule type="containsText" dxfId="22" priority="15" operator="containsText" text="See Notes">
      <formula>NOT(ISERROR(SEARCH("See Notes",X235)))</formula>
    </cfRule>
    <cfRule type="containsBlanks" dxfId="21" priority="16">
      <formula>LEN(TRIM(X235))=0</formula>
    </cfRule>
    <cfRule type="expression" dxfId="20" priority="17" stopIfTrue="1">
      <formula>X235&lt;&gt;#REF!</formula>
    </cfRule>
  </conditionalFormatting>
  <conditionalFormatting sqref="AC167:AE167">
    <cfRule type="containsBlanks" dxfId="19" priority="14">
      <formula>LEN(TRIM(AC167))=0</formula>
    </cfRule>
  </conditionalFormatting>
  <conditionalFormatting sqref="AM167">
    <cfRule type="containsBlanks" dxfId="18" priority="9">
      <formula>LEN(TRIM(AM167))=0</formula>
    </cfRule>
  </conditionalFormatting>
  <conditionalFormatting sqref="AO167:AU167">
    <cfRule type="containsBlanks" dxfId="17" priority="8">
      <formula>LEN(TRIM(AO167))=0</formula>
    </cfRule>
  </conditionalFormatting>
  <conditionalFormatting sqref="AY93">
    <cfRule type="containsText" dxfId="16" priority="2" operator="containsText" text="See Notes">
      <formula>NOT(ISERROR(SEARCH("See Notes",AY93)))</formula>
    </cfRule>
    <cfRule type="containsBlanks" dxfId="15" priority="3">
      <formula>LEN(TRIM(AY93))=0</formula>
    </cfRule>
    <cfRule type="expression" dxfId="14" priority="4" stopIfTrue="1">
      <formula>AY93&lt;&gt;#REF!</formula>
    </cfRule>
  </conditionalFormatting>
  <conditionalFormatting sqref="BG167">
    <cfRule type="containsBlanks" dxfId="13" priority="5">
      <formula>LEN(TRIM(BG167))=0</formula>
    </cfRule>
  </conditionalFormatting>
  <conditionalFormatting sqref="BH167">
    <cfRule type="containsBlanks" dxfId="12" priority="6">
      <formula>LEN(TRIM(BH167))=0</formula>
    </cfRule>
  </conditionalFormatting>
  <conditionalFormatting sqref="BI167">
    <cfRule type="containsBlanks" dxfId="11" priority="7">
      <formula>LEN(TRIM(BI167))=0</formula>
    </cfRule>
  </conditionalFormatting>
  <conditionalFormatting sqref="BK167">
    <cfRule type="containsBlanks" dxfId="10" priority="10">
      <formula>LEN(TRIM(BK167))=0</formula>
    </cfRule>
  </conditionalFormatting>
  <conditionalFormatting sqref="BL167">
    <cfRule type="containsBlanks" dxfId="9" priority="11">
      <formula>LEN(TRIM(BL167))=0</formula>
    </cfRule>
  </conditionalFormatting>
  <conditionalFormatting sqref="BM167">
    <cfRule type="containsBlanks" dxfId="8" priority="12">
      <formula>LEN(TRIM(BM167))=0</formula>
    </cfRule>
  </conditionalFormatting>
  <conditionalFormatting sqref="BN167">
    <cfRule type="containsBlanks" dxfId="7" priority="13">
      <formula>LEN(TRIM(BN167))=0</formula>
    </cfRule>
  </conditionalFormatting>
  <conditionalFormatting sqref="BO167">
    <cfRule type="containsBlanks" dxfId="6" priority="1">
      <formula>LEN(TRIM(BO167))=0</formula>
    </cfRule>
  </conditionalFormatting>
  <dataValidations count="1">
    <dataValidation allowBlank="1" showInputMessage="1" showErrorMessage="1" sqref="CS247:CS248" xr:uid="{30311F76-9370-4932-A45B-A9CC85214CD3}"/>
  </dataValidations>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48fdc7f-dc23-401c-bca3-7951ccf91bbf" xsi:nil="true"/>
    <lcf76f155ced4ddcb4097134ff3c332f xmlns="373e169e-1fa4-4c40-ba23-a769fdd8a1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3BD31596D46F4FBE23A3BABF0C0027" ma:contentTypeVersion="16" ma:contentTypeDescription="Create a new document." ma:contentTypeScope="" ma:versionID="0c70b7bc25f893bb87235e259ee45f09">
  <xsd:schema xmlns:xsd="http://www.w3.org/2001/XMLSchema" xmlns:xs="http://www.w3.org/2001/XMLSchema" xmlns:p="http://schemas.microsoft.com/office/2006/metadata/properties" xmlns:ns2="373e169e-1fa4-4c40-ba23-a769fdd8a158" xmlns:ns3="b48fdc7f-dc23-401c-bca3-7951ccf91bbf" targetNamespace="http://schemas.microsoft.com/office/2006/metadata/properties" ma:root="true" ma:fieldsID="36d646e37af010886be6bccf370e58f8" ns2:_="" ns3:_="">
    <xsd:import namespace="373e169e-1fa4-4c40-ba23-a769fdd8a158"/>
    <xsd:import namespace="b48fdc7f-dc23-401c-bca3-7951ccf91b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e169e-1fa4-4c40-ba23-a769fdd8a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fdc7f-dc23-401c-bca3-7951ccf91b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ccca6c-67fb-4ab4-bfc6-168685d87d84}" ma:internalName="TaxCatchAll" ma:showField="CatchAllData" ma:web="b48fdc7f-dc23-401c-bca3-7951ccf91b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F6419-D054-4849-B6A1-6B059B4E543C}">
  <ds:schemaRefs>
    <ds:schemaRef ds:uri="http://schemas.microsoft.com/sharepoint/v3/contenttype/forms"/>
  </ds:schemaRefs>
</ds:datastoreItem>
</file>

<file path=customXml/itemProps2.xml><?xml version="1.0" encoding="utf-8"?>
<ds:datastoreItem xmlns:ds="http://schemas.openxmlformats.org/officeDocument/2006/customXml" ds:itemID="{17A1A195-8060-480F-BF40-D69D927F419D}">
  <ds:schemaRefs>
    <ds:schemaRef ds:uri="http://schemas.microsoft.com/office/2006/metadata/properties"/>
    <ds:schemaRef ds:uri="http://schemas.microsoft.com/office/infopath/2007/PartnerControls"/>
    <ds:schemaRef ds:uri="5ba3a432-472d-434a-b697-9fe29af035b8"/>
    <ds:schemaRef ds:uri="494e958b-86a5-44c2-adc8-947cc01a650c"/>
  </ds:schemaRefs>
</ds:datastoreItem>
</file>

<file path=customXml/itemProps3.xml><?xml version="1.0" encoding="utf-8"?>
<ds:datastoreItem xmlns:ds="http://schemas.openxmlformats.org/officeDocument/2006/customXml" ds:itemID="{3FEEB1EF-B511-4D9E-B44C-8701A37345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Sheet3</vt:lpstr>
      <vt:lpstr>Data fields</vt:lpstr>
      <vt:lpstr>Options List</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Dsingh</dc:creator>
  <cp:keywords/>
  <dc:description/>
  <cp:lastModifiedBy>Bourbois, Kristopher</cp:lastModifiedBy>
  <cp:revision/>
  <dcterms:created xsi:type="dcterms:W3CDTF">2006-09-16T00:00:00Z</dcterms:created>
  <dcterms:modified xsi:type="dcterms:W3CDTF">2025-08-15T21:39:27Z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0x010100843BD31596D46F4FBE23A3BABF0C0027</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